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1\ChargingModelsfromDCUSA\Broken Links\"/>
    </mc:Choice>
  </mc:AlternateContent>
  <workbookProtection lockStructure="1"/>
  <bookViews>
    <workbookView xWindow="-105" yWindow="-105" windowWidth="19425" windowHeight="10425" tabRatio="933" firstSheet="2" activeTab="8"/>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Reactive power charges" sheetId="72" r:id="rId21"/>
    <sheet name="Capacity charges" sheetId="73" r:id="rId22"/>
    <sheet name="Fixed charges" sheetId="74" r:id="rId23"/>
    <sheet name="Revenue matching" sheetId="41" r:id="rId24"/>
    <sheet name="Fixed charge adder" sheetId="112"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inputs'!$H$92</definedName>
    <definedName name="DNO_name" comment="Name of DNO">Cover!$D$21</definedName>
    <definedName name="hours_in_day" comment="Hours per day">'Fixed inputs'!$H$15</definedName>
    <definedName name="hours_in_year" comment="Hours in the charging year">'General inputs'!$H$93</definedName>
    <definedName name="HTML_CodePage" hidden="1">1252</definedName>
    <definedName name="HTML_Control" localSheetId="21" hidden="1">{"'Sheet1'!$A$1:$G$85"}</definedName>
    <definedName name="HTML_Control" localSheetId="0" hidden="1">{"'Sheet1'!$A$1:$G$85"}</definedName>
    <definedName name="HTML_Control" localSheetId="24"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0" hidden="1">{"'Sheet1'!$A$1:$G$85"}</definedName>
    <definedName name="HTML_Control" localSheetId="23" hidden="1">{"'Sheet1'!$A$1:$G$85"}</definedName>
    <definedName name="HTML_Control" localSheetId="25" hidden="1">{"'Sheet1'!$A$1:$G$85"}</definedName>
    <definedName name="HTML_Control" localSheetId="18"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_xlnm.Print_Area" localSheetId="8">'General inputs'!$A$1:$J$116</definedName>
    <definedName name="_xlnm.Print_Area" localSheetId="6">'Inputs by customer type'!$A$1:$Y$85</definedName>
    <definedName name="_xlnm.Print_Area" localSheetId="7">'Inputs by network level'!$A$1:$S$56</definedName>
    <definedName name="_xlnm.Print_Area" localSheetId="26">'Net revenue summary'!$F$83:$H$112</definedName>
    <definedName name="ten" comment="Equal to 10">'Fixed inputs'!$H$16</definedName>
    <definedName name="thousand" comment="Equal to 1000">'Fixed inputs'!$H$18</definedName>
  </definedNames>
  <calcPr calcId="162913" calcOnSave="0"/>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70" i="85" l="1"/>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Y23" i="112" l="1"/>
  <c r="X23" i="112"/>
  <c r="W23" i="112"/>
  <c r="V23" i="112"/>
  <c r="U23" i="112"/>
  <c r="T23" i="112"/>
  <c r="S23" i="112"/>
  <c r="R23" i="112"/>
  <c r="Q23" i="112"/>
  <c r="P23" i="112"/>
  <c r="O23" i="112"/>
  <c r="N23" i="112"/>
  <c r="M23" i="112"/>
  <c r="L23" i="112"/>
  <c r="K23" i="112"/>
  <c r="J23" i="112"/>
  <c r="H31" i="112" l="1"/>
  <c r="H30" i="112"/>
  <c r="J20" i="112" l="1"/>
  <c r="H41" i="41"/>
  <c r="H40" i="41"/>
  <c r="K26" i="112"/>
  <c r="L26" i="112"/>
  <c r="M26" i="112"/>
  <c r="N26" i="112"/>
  <c r="O26" i="112"/>
  <c r="P26" i="112"/>
  <c r="Q26" i="112"/>
  <c r="R26" i="112"/>
  <c r="S26" i="112"/>
  <c r="T26" i="112"/>
  <c r="U26" i="112"/>
  <c r="V26" i="112"/>
  <c r="W26" i="112"/>
  <c r="X26" i="112"/>
  <c r="Y26" i="112"/>
  <c r="K27" i="112"/>
  <c r="L27" i="112"/>
  <c r="M27" i="112"/>
  <c r="N27" i="112"/>
  <c r="O27" i="112"/>
  <c r="P27" i="112"/>
  <c r="Q27" i="112"/>
  <c r="R27" i="112"/>
  <c r="S27" i="112"/>
  <c r="T27" i="112"/>
  <c r="U27" i="112"/>
  <c r="V27" i="112"/>
  <c r="W27" i="112"/>
  <c r="X27" i="112"/>
  <c r="Y27" i="112"/>
  <c r="J27" i="112"/>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N21" i="112"/>
  <c r="M21" i="112"/>
  <c r="L21" i="112"/>
  <c r="K21" i="112"/>
  <c r="J21" i="112"/>
  <c r="Y20" i="112"/>
  <c r="X20" i="112"/>
  <c r="W20" i="112"/>
  <c r="V20" i="112"/>
  <c r="U20" i="112"/>
  <c r="T20" i="112"/>
  <c r="S20" i="112"/>
  <c r="R20" i="112"/>
  <c r="Q20" i="112"/>
  <c r="P20" i="112"/>
  <c r="O20" i="112"/>
  <c r="N20" i="112"/>
  <c r="M20" i="112"/>
  <c r="L20" i="112"/>
  <c r="K20" i="112"/>
  <c r="A2" i="112"/>
  <c r="A1" i="112"/>
  <c r="C16" i="112" s="1"/>
  <c r="G186" i="85" s="1"/>
  <c r="V45" i="112" l="1"/>
  <c r="V37" i="112"/>
  <c r="M44" i="112"/>
  <c r="M36" i="112"/>
  <c r="U45" i="112"/>
  <c r="U37" i="112"/>
  <c r="M37" i="112"/>
  <c r="M45" i="112"/>
  <c r="T44" i="112"/>
  <c r="T36" i="112"/>
  <c r="L36" i="112"/>
  <c r="L44" i="112"/>
  <c r="T37" i="112"/>
  <c r="T45" i="112"/>
  <c r="L37" i="112"/>
  <c r="S44" i="112"/>
  <c r="S36" i="112"/>
  <c r="K44" i="112"/>
  <c r="K36" i="112"/>
  <c r="J36" i="112"/>
  <c r="S37" i="112"/>
  <c r="S45" i="112"/>
  <c r="K45" i="112"/>
  <c r="K37" i="112"/>
  <c r="R36" i="112"/>
  <c r="R44" i="112"/>
  <c r="J37" i="112"/>
  <c r="R37" i="112"/>
  <c r="R45" i="112"/>
  <c r="Y36" i="112"/>
  <c r="Y44" i="112"/>
  <c r="Q36" i="112"/>
  <c r="Q44" i="112"/>
  <c r="N37" i="112"/>
  <c r="Y37" i="112"/>
  <c r="Y45" i="112"/>
  <c r="P44" i="112"/>
  <c r="P36" i="112"/>
  <c r="X45" i="112"/>
  <c r="X37" i="112"/>
  <c r="P37" i="112"/>
  <c r="W44" i="112"/>
  <c r="W36" i="112"/>
  <c r="O44" i="112"/>
  <c r="O36" i="112"/>
  <c r="U36" i="112"/>
  <c r="U44" i="112"/>
  <c r="Q37" i="112"/>
  <c r="Q45" i="112"/>
  <c r="X44" i="112"/>
  <c r="X36" i="112"/>
  <c r="W45" i="112"/>
  <c r="W37" i="112"/>
  <c r="O37" i="112"/>
  <c r="V44" i="112"/>
  <c r="V36" i="112"/>
  <c r="N36" i="112"/>
  <c r="N44" i="112"/>
  <c r="C33" i="112"/>
  <c r="G187" i="85" s="1"/>
  <c r="C48" i="112"/>
  <c r="G188" i="85" s="1"/>
  <c r="V46" i="112" l="1"/>
  <c r="V50" i="112" s="1"/>
  <c r="U46" i="112"/>
  <c r="U50" i="112" s="1"/>
  <c r="W46" i="112"/>
  <c r="W50" i="112" s="1"/>
  <c r="X46" i="112"/>
  <c r="X50" i="112" s="1"/>
  <c r="K46" i="112"/>
  <c r="K50" i="112" s="1"/>
  <c r="H41" i="112"/>
  <c r="H40" i="112"/>
  <c r="J44" i="112" s="1"/>
  <c r="Q46" i="112"/>
  <c r="Q50" i="112" s="1"/>
  <c r="R46" i="112"/>
  <c r="R50" i="112" s="1"/>
  <c r="M46" i="112"/>
  <c r="M50" i="112" s="1"/>
  <c r="Y46" i="112"/>
  <c r="Y50" i="112" s="1"/>
  <c r="S46" i="112"/>
  <c r="S50" i="112" s="1"/>
  <c r="T46" i="112"/>
  <c r="T50" i="112" s="1"/>
  <c r="H23" i="81"/>
  <c r="O45" i="112" l="1"/>
  <c r="O46" i="112" s="1"/>
  <c r="O50" i="112" s="1"/>
  <c r="L45" i="112"/>
  <c r="L46" i="112" s="1"/>
  <c r="L50" i="112" s="1"/>
  <c r="J45" i="112"/>
  <c r="J46" i="112" s="1"/>
  <c r="N45" i="112"/>
  <c r="N46" i="112" s="1"/>
  <c r="N50" i="112" s="1"/>
  <c r="P45" i="112"/>
  <c r="P46" i="112" s="1"/>
  <c r="P50" i="112" s="1"/>
  <c r="M38" i="53"/>
  <c r="L38" i="53"/>
  <c r="K38" i="53"/>
  <c r="J38" i="53"/>
  <c r="J50" i="112" l="1"/>
  <c r="K116" i="41"/>
  <c r="L116" i="41" s="1"/>
  <c r="M116" i="41" s="1"/>
  <c r="N116" i="41" s="1"/>
  <c r="O116" i="41" s="1"/>
  <c r="P116" i="41" s="1"/>
  <c r="Q116" i="41" s="1"/>
  <c r="R116" i="41" s="1"/>
  <c r="S116" i="41" s="1"/>
  <c r="T116" i="41" s="1"/>
  <c r="U116" i="41" s="1"/>
  <c r="V116" i="41" s="1"/>
  <c r="W116" i="41" s="1"/>
  <c r="X116" i="41" s="1"/>
  <c r="Y116" i="41" s="1"/>
  <c r="Z116" i="41" s="1"/>
  <c r="AA116" i="41" s="1"/>
  <c r="AB116" i="41" s="1"/>
  <c r="AC116" i="41" s="1"/>
  <c r="AD116" i="41" s="1"/>
  <c r="AE116" i="41" s="1"/>
  <c r="AF116" i="41" s="1"/>
  <c r="AG116" i="41" s="1"/>
  <c r="AH116" i="41" s="1"/>
  <c r="AI116" i="41" s="1"/>
  <c r="AJ116" i="41" s="1"/>
  <c r="AK116" i="41" s="1"/>
  <c r="AL116" i="41" s="1"/>
  <c r="AM116" i="41" s="1"/>
  <c r="AN116" i="41" s="1"/>
  <c r="AO116" i="41" s="1"/>
  <c r="AP116" i="41" s="1"/>
  <c r="AQ116" i="41" s="1"/>
  <c r="AR116" i="41" s="1"/>
  <c r="AS116" i="41" s="1"/>
  <c r="AT116" i="41" s="1"/>
  <c r="AU116" i="41" s="1"/>
  <c r="AV116" i="41" s="1"/>
  <c r="AW116" i="41" s="1"/>
  <c r="AX116" i="41" s="1"/>
  <c r="AY116" i="41" s="1"/>
  <c r="AZ116" i="41" s="1"/>
  <c r="BA116" i="41" s="1"/>
  <c r="BB116" i="41" s="1"/>
  <c r="BC116" i="41" s="1"/>
  <c r="BD116" i="41" s="1"/>
  <c r="BE116" i="41" s="1"/>
  <c r="BE103" i="41"/>
  <c r="BD103" i="41"/>
  <c r="BC103" i="41"/>
  <c r="BB103" i="41"/>
  <c r="BA103" i="41"/>
  <c r="AZ103" i="41"/>
  <c r="AY103" i="41"/>
  <c r="AX103" i="41"/>
  <c r="AO103" i="41"/>
  <c r="AN103" i="41"/>
  <c r="AM103" i="41"/>
  <c r="AL103" i="41"/>
  <c r="AK103" i="41"/>
  <c r="AJ103" i="41"/>
  <c r="AI103" i="41"/>
  <c r="AH103" i="41"/>
  <c r="H52" i="112" l="1"/>
  <c r="Y156" i="105"/>
  <c r="X156" i="105"/>
  <c r="W156" i="105"/>
  <c r="V156" i="105"/>
  <c r="U156" i="105"/>
  <c r="T156" i="105"/>
  <c r="S156" i="105"/>
  <c r="R156" i="105"/>
  <c r="Q156" i="105"/>
  <c r="P156" i="105"/>
  <c r="O156" i="105"/>
  <c r="N156" i="105"/>
  <c r="M156" i="105"/>
  <c r="L156" i="105"/>
  <c r="K156" i="105"/>
  <c r="J21" i="23" a="1"/>
  <c r="J21" i="23" s="1"/>
  <c r="J84" i="31" a="1"/>
  <c r="K84" i="31" s="1"/>
  <c r="J46" i="31" a="1"/>
  <c r="P46" i="31" s="1"/>
  <c r="Q98" i="31" l="1"/>
  <c r="O97" i="31"/>
  <c r="S95" i="31"/>
  <c r="O94" i="31"/>
  <c r="K93" i="31"/>
  <c r="O91" i="31"/>
  <c r="M90" i="31"/>
  <c r="S88" i="31"/>
  <c r="M87" i="31"/>
  <c r="S85" i="31"/>
  <c r="S99" i="31"/>
  <c r="O98" i="31"/>
  <c r="S96" i="31"/>
  <c r="O95" i="31"/>
  <c r="M94" i="31"/>
  <c r="Q92" i="31"/>
  <c r="M91" i="31"/>
  <c r="S89" i="31"/>
  <c r="M88" i="31"/>
  <c r="K87" i="31"/>
  <c r="Q85" i="31"/>
  <c r="M36" i="23"/>
  <c r="M35" i="23"/>
  <c r="M34" i="23"/>
  <c r="M33" i="23"/>
  <c r="M32" i="23"/>
  <c r="M31" i="23"/>
  <c r="M30" i="23"/>
  <c r="M29" i="23"/>
  <c r="M28" i="23"/>
  <c r="M27" i="23"/>
  <c r="M26" i="23"/>
  <c r="M25" i="23"/>
  <c r="M24" i="23"/>
  <c r="M23" i="23"/>
  <c r="M22" i="23"/>
  <c r="M21" i="23"/>
  <c r="O99" i="31"/>
  <c r="S97" i="31"/>
  <c r="Q96" i="31"/>
  <c r="M95" i="31"/>
  <c r="Q93" i="31"/>
  <c r="M92" i="31"/>
  <c r="K91" i="31"/>
  <c r="O89" i="31"/>
  <c r="K88" i="31"/>
  <c r="Q86" i="31"/>
  <c r="O84" i="31"/>
  <c r="L36" i="23"/>
  <c r="L35" i="23"/>
  <c r="L34" i="23"/>
  <c r="L33" i="23"/>
  <c r="L32" i="23"/>
  <c r="L31" i="23"/>
  <c r="L30" i="23"/>
  <c r="L29" i="23"/>
  <c r="L28" i="23"/>
  <c r="L27" i="23"/>
  <c r="L26" i="23"/>
  <c r="L25" i="23"/>
  <c r="L24" i="23"/>
  <c r="L23" i="23"/>
  <c r="L22" i="23"/>
  <c r="L21" i="23"/>
  <c r="K99" i="31"/>
  <c r="Q97" i="31"/>
  <c r="M96" i="31"/>
  <c r="Q94" i="31"/>
  <c r="O93" i="31"/>
  <c r="K92" i="31"/>
  <c r="O90" i="31"/>
  <c r="K89" i="31"/>
  <c r="S87" i="31"/>
  <c r="M86"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O61" i="31"/>
  <c r="R60" i="31"/>
  <c r="L60" i="31"/>
  <c r="N59" i="31"/>
  <c r="Q58" i="31"/>
  <c r="J58" i="31"/>
  <c r="L57" i="31"/>
  <c r="P56" i="31"/>
  <c r="S55" i="31"/>
  <c r="K55" i="31"/>
  <c r="N54" i="31"/>
  <c r="R53" i="31"/>
  <c r="J53" i="31"/>
  <c r="M52" i="31"/>
  <c r="P51" i="31"/>
  <c r="R50" i="31"/>
  <c r="L50" i="31"/>
  <c r="O49" i="31"/>
  <c r="Q48" i="31"/>
  <c r="J48" i="31"/>
  <c r="N47" i="31"/>
  <c r="K46" i="31"/>
  <c r="L46" i="31"/>
  <c r="Q46" i="31"/>
  <c r="L47" i="31"/>
  <c r="R47" i="31"/>
  <c r="M48" i="31"/>
  <c r="R48" i="31"/>
  <c r="N49" i="31"/>
  <c r="S49" i="31"/>
  <c r="N50" i="31"/>
  <c r="J51" i="31"/>
  <c r="O51" i="31"/>
  <c r="J52" i="31"/>
  <c r="P52" i="31"/>
  <c r="K53" i="31"/>
  <c r="P53" i="31"/>
  <c r="L54" i="31"/>
  <c r="Q54" i="31"/>
  <c r="L55" i="31"/>
  <c r="R55" i="31"/>
  <c r="M56" i="31"/>
  <c r="R56" i="31"/>
  <c r="N57" i="31"/>
  <c r="S57" i="31"/>
  <c r="N58" i="31"/>
  <c r="J59" i="31"/>
  <c r="O59" i="31"/>
  <c r="J60" i="31"/>
  <c r="P60" i="31"/>
  <c r="K61" i="31"/>
  <c r="P61" i="31"/>
  <c r="N61" i="31"/>
  <c r="Q60" i="31"/>
  <c r="S59" i="31"/>
  <c r="L59" i="31"/>
  <c r="P58" i="31"/>
  <c r="R57" i="31"/>
  <c r="K57" i="31"/>
  <c r="N56" i="31"/>
  <c r="P55" i="31"/>
  <c r="J55" i="31"/>
  <c r="M54" i="31"/>
  <c r="O53" i="31"/>
  <c r="R52" i="31"/>
  <c r="L52" i="31"/>
  <c r="N51" i="31"/>
  <c r="Q50" i="31"/>
  <c r="J50" i="31"/>
  <c r="L49" i="31"/>
  <c r="P48" i="31"/>
  <c r="S47" i="31"/>
  <c r="K47" i="31"/>
  <c r="N46" i="31"/>
  <c r="S61" i="31"/>
  <c r="L61" i="31"/>
  <c r="N60" i="31"/>
  <c r="R59" i="31"/>
  <c r="K59" i="31"/>
  <c r="M58" i="31"/>
  <c r="P57" i="31"/>
  <c r="J57" i="31"/>
  <c r="L56" i="31"/>
  <c r="O55" i="31"/>
  <c r="R54" i="31"/>
  <c r="J54" i="31"/>
  <c r="N53" i="31"/>
  <c r="Q52" i="31"/>
  <c r="S51" i="31"/>
  <c r="L51" i="31"/>
  <c r="P50" i="31"/>
  <c r="R49" i="31"/>
  <c r="K49" i="31"/>
  <c r="N48" i="31"/>
  <c r="P47" i="31"/>
  <c r="J47" i="31"/>
  <c r="M46" i="31"/>
  <c r="L84" i="31"/>
  <c r="S84" i="31"/>
  <c r="K86" i="31"/>
  <c r="S86" i="31"/>
  <c r="Q87" i="31"/>
  <c r="O88" i="31"/>
  <c r="M89" i="31"/>
  <c r="K90" i="31"/>
  <c r="S90" i="31"/>
  <c r="Q91" i="31"/>
  <c r="O92" i="31"/>
  <c r="M93" i="31"/>
  <c r="K94" i="31"/>
  <c r="S94" i="31"/>
  <c r="Q95" i="31"/>
  <c r="O96" i="31"/>
  <c r="M97" i="31"/>
  <c r="K98" i="31"/>
  <c r="S98" i="31"/>
  <c r="Q99" i="31"/>
  <c r="R61" i="31"/>
  <c r="J61" i="31"/>
  <c r="M60" i="31"/>
  <c r="P59" i="31"/>
  <c r="R58" i="31"/>
  <c r="L58" i="31"/>
  <c r="O57" i="31"/>
  <c r="Q56" i="31"/>
  <c r="J56" i="31"/>
  <c r="N55" i="31"/>
  <c r="P54" i="31"/>
  <c r="S53" i="31"/>
  <c r="L53" i="31"/>
  <c r="N52" i="31"/>
  <c r="R51" i="31"/>
  <c r="K51" i="31"/>
  <c r="M50" i="31"/>
  <c r="P49" i="31"/>
  <c r="J49" i="31"/>
  <c r="L48" i="31"/>
  <c r="O47" i="31"/>
  <c r="R46" i="31"/>
  <c r="J46" i="31"/>
  <c r="J65" i="31" s="1"/>
  <c r="M99" i="31"/>
  <c r="M98" i="31"/>
  <c r="K97" i="31"/>
  <c r="K96" i="31"/>
  <c r="K95" i="31"/>
  <c r="S93" i="31"/>
  <c r="S92" i="31"/>
  <c r="S91" i="31"/>
  <c r="Q90" i="31"/>
  <c r="Q89" i="31"/>
  <c r="Q88" i="31"/>
  <c r="O87" i="31"/>
  <c r="O86" i="31"/>
  <c r="M85"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J84" i="31"/>
  <c r="O85" i="31"/>
  <c r="K85" i="31"/>
  <c r="Q84" i="31"/>
  <c r="M84"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Y149" i="105"/>
  <c r="X149" i="105"/>
  <c r="W149" i="105"/>
  <c r="V149" i="105"/>
  <c r="U149" i="105"/>
  <c r="T149" i="105"/>
  <c r="S149" i="105"/>
  <c r="R149" i="105"/>
  <c r="Q149" i="105"/>
  <c r="P149" i="105"/>
  <c r="O149" i="105"/>
  <c r="N149" i="105"/>
  <c r="M149" i="105"/>
  <c r="L149" i="105"/>
  <c r="K149" i="105"/>
  <c r="J149" i="105"/>
  <c r="Y148" i="105"/>
  <c r="X148" i="105"/>
  <c r="W148" i="105"/>
  <c r="V148" i="105"/>
  <c r="U148" i="105"/>
  <c r="T148" i="105"/>
  <c r="S148" i="105"/>
  <c r="R148" i="105"/>
  <c r="Q148" i="105"/>
  <c r="P148" i="105"/>
  <c r="O148" i="105"/>
  <c r="N148" i="105"/>
  <c r="M148" i="105"/>
  <c r="L148" i="105"/>
  <c r="K148" i="105"/>
  <c r="J148" i="105"/>
  <c r="Y147" i="105"/>
  <c r="X147" i="105"/>
  <c r="W147" i="105"/>
  <c r="V147" i="105"/>
  <c r="U147" i="105"/>
  <c r="T147" i="105"/>
  <c r="S147" i="105"/>
  <c r="R147" i="105"/>
  <c r="Q147" i="105"/>
  <c r="P147" i="105"/>
  <c r="O147" i="105"/>
  <c r="N147" i="105"/>
  <c r="M147" i="105"/>
  <c r="L147" i="105"/>
  <c r="K147" i="105"/>
  <c r="J147" i="105"/>
  <c r="Y146" i="105"/>
  <c r="X146" i="105"/>
  <c r="W146" i="105"/>
  <c r="V146" i="105"/>
  <c r="U146" i="105"/>
  <c r="T146" i="105"/>
  <c r="S146" i="105"/>
  <c r="R146" i="105"/>
  <c r="Q146" i="105"/>
  <c r="P146" i="105"/>
  <c r="O146" i="105"/>
  <c r="N146" i="105"/>
  <c r="M146" i="105"/>
  <c r="L146" i="105"/>
  <c r="K146" i="105"/>
  <c r="J146" i="105"/>
  <c r="Y145" i="105"/>
  <c r="X145" i="105"/>
  <c r="W145" i="105"/>
  <c r="V145" i="105"/>
  <c r="U145" i="105"/>
  <c r="T145" i="105"/>
  <c r="S145" i="105"/>
  <c r="R145" i="105"/>
  <c r="Q145" i="105"/>
  <c r="P145" i="105"/>
  <c r="O145" i="105"/>
  <c r="N145" i="105"/>
  <c r="M145" i="105"/>
  <c r="L145" i="105"/>
  <c r="K145" i="105"/>
  <c r="J145" i="105"/>
  <c r="Y144" i="105"/>
  <c r="X144" i="105"/>
  <c r="W144" i="105"/>
  <c r="V144" i="105"/>
  <c r="U144" i="105"/>
  <c r="T144" i="105"/>
  <c r="S144" i="105"/>
  <c r="R144" i="105"/>
  <c r="Q144" i="105"/>
  <c r="P144" i="105"/>
  <c r="O144" i="105"/>
  <c r="N144" i="105"/>
  <c r="M144" i="105"/>
  <c r="L144" i="105"/>
  <c r="K144" i="105"/>
  <c r="J144" i="105"/>
  <c r="Y143" i="105"/>
  <c r="X143" i="105"/>
  <c r="W143" i="105"/>
  <c r="V143" i="105"/>
  <c r="U143" i="105"/>
  <c r="T143" i="105"/>
  <c r="S143" i="105"/>
  <c r="R143" i="105"/>
  <c r="Q143" i="105"/>
  <c r="P143" i="105"/>
  <c r="O143" i="105"/>
  <c r="N143" i="105"/>
  <c r="M143" i="105"/>
  <c r="L143" i="105"/>
  <c r="K143" i="105"/>
  <c r="J143" i="105"/>
  <c r="Y69" i="105"/>
  <c r="W69" i="105"/>
  <c r="U69" i="105"/>
  <c r="Y68" i="105"/>
  <c r="W68" i="105"/>
  <c r="U68" i="105"/>
  <c r="Y67" i="105"/>
  <c r="W67" i="105"/>
  <c r="U67" i="105"/>
  <c r="Y66" i="105"/>
  <c r="W66" i="105"/>
  <c r="U66" i="105"/>
  <c r="Y65" i="105"/>
  <c r="W65" i="105"/>
  <c r="U65" i="105"/>
  <c r="Y64" i="105"/>
  <c r="W64" i="105"/>
  <c r="U64" i="105"/>
  <c r="Y63" i="105"/>
  <c r="W63" i="105"/>
  <c r="U63" i="105"/>
  <c r="Y60" i="105"/>
  <c r="X60" i="105"/>
  <c r="W60" i="105"/>
  <c r="V60" i="105"/>
  <c r="U60" i="105"/>
  <c r="S60" i="105"/>
  <c r="P60" i="105"/>
  <c r="O60" i="105"/>
  <c r="Y59" i="105"/>
  <c r="X59" i="105"/>
  <c r="W59" i="105"/>
  <c r="V59" i="105"/>
  <c r="U59" i="105"/>
  <c r="S59" i="105"/>
  <c r="P59" i="105"/>
  <c r="O59" i="105"/>
  <c r="Y58" i="105"/>
  <c r="X58" i="105"/>
  <c r="W58" i="105"/>
  <c r="V58" i="105"/>
  <c r="U58" i="105"/>
  <c r="S58" i="105"/>
  <c r="P58" i="105"/>
  <c r="O58" i="105"/>
  <c r="Y57" i="105"/>
  <c r="X57" i="105"/>
  <c r="W57" i="105"/>
  <c r="V57" i="105"/>
  <c r="U57" i="105"/>
  <c r="S57" i="105"/>
  <c r="P57" i="105"/>
  <c r="O57" i="105"/>
  <c r="Y56" i="105"/>
  <c r="X56" i="105"/>
  <c r="W56" i="105"/>
  <c r="V56" i="105"/>
  <c r="U56" i="105"/>
  <c r="S56" i="105"/>
  <c r="P56" i="105"/>
  <c r="O56" i="105"/>
  <c r="Y55" i="105"/>
  <c r="X55" i="105"/>
  <c r="W55" i="105"/>
  <c r="V55" i="105"/>
  <c r="U55" i="105"/>
  <c r="S55" i="105"/>
  <c r="P55" i="105"/>
  <c r="O55" i="105"/>
  <c r="Y54" i="105"/>
  <c r="X54" i="105"/>
  <c r="W54" i="105"/>
  <c r="V54" i="105"/>
  <c r="U54" i="105"/>
  <c r="S54" i="105"/>
  <c r="P54" i="105"/>
  <c r="O54" i="105"/>
  <c r="Y40" i="105"/>
  <c r="X40" i="105"/>
  <c r="W40" i="105"/>
  <c r="V40" i="105"/>
  <c r="U40" i="105"/>
  <c r="T40" i="105"/>
  <c r="S40" i="105"/>
  <c r="R40" i="105"/>
  <c r="Q40" i="105"/>
  <c r="P40" i="105"/>
  <c r="O40" i="105"/>
  <c r="N40" i="105"/>
  <c r="M40" i="105"/>
  <c r="L40" i="105"/>
  <c r="K40" i="105"/>
  <c r="J40" i="105"/>
  <c r="Y39" i="105"/>
  <c r="X39" i="105"/>
  <c r="W39" i="105"/>
  <c r="V39" i="105"/>
  <c r="U39" i="105"/>
  <c r="T39" i="105"/>
  <c r="S39" i="105"/>
  <c r="R39" i="105"/>
  <c r="Q39" i="105"/>
  <c r="P39" i="105"/>
  <c r="O39" i="105"/>
  <c r="N39" i="105"/>
  <c r="M39" i="105"/>
  <c r="L39" i="105"/>
  <c r="K39" i="105"/>
  <c r="J39" i="105"/>
  <c r="Y38" i="105"/>
  <c r="X38" i="105"/>
  <c r="W38" i="105"/>
  <c r="V38" i="105"/>
  <c r="U38" i="105"/>
  <c r="T38" i="105"/>
  <c r="S38" i="105"/>
  <c r="R38" i="105"/>
  <c r="Q38" i="105"/>
  <c r="P38" i="105"/>
  <c r="O38" i="105"/>
  <c r="N38" i="105"/>
  <c r="M38" i="105"/>
  <c r="L38" i="105"/>
  <c r="K38" i="105"/>
  <c r="J38" i="105"/>
  <c r="Y37" i="105"/>
  <c r="X37" i="105"/>
  <c r="W37" i="105"/>
  <c r="V37" i="105"/>
  <c r="U37" i="105"/>
  <c r="T37" i="105"/>
  <c r="S37" i="105"/>
  <c r="R37" i="105"/>
  <c r="Q37" i="105"/>
  <c r="P37" i="105"/>
  <c r="O37" i="105"/>
  <c r="N37" i="105"/>
  <c r="M37" i="105"/>
  <c r="L37" i="105"/>
  <c r="K37" i="105"/>
  <c r="J37" i="105"/>
  <c r="Y36" i="105"/>
  <c r="X36" i="105"/>
  <c r="W36" i="105"/>
  <c r="V36" i="105"/>
  <c r="U36" i="105"/>
  <c r="T36" i="105"/>
  <c r="S36" i="105"/>
  <c r="R36" i="105"/>
  <c r="Q36" i="105"/>
  <c r="P36" i="105"/>
  <c r="O36" i="105"/>
  <c r="N36" i="105"/>
  <c r="M36" i="105"/>
  <c r="L36" i="105"/>
  <c r="K36" i="105"/>
  <c r="J36" i="105"/>
  <c r="Y35" i="105"/>
  <c r="X35" i="105"/>
  <c r="W35" i="105"/>
  <c r="V35" i="105"/>
  <c r="U35" i="105"/>
  <c r="T35" i="105"/>
  <c r="S35" i="105"/>
  <c r="R35" i="105"/>
  <c r="Q35" i="105"/>
  <c r="P35" i="105"/>
  <c r="O35" i="105"/>
  <c r="N35" i="105"/>
  <c r="M35" i="105"/>
  <c r="L35" i="105"/>
  <c r="K35" i="105"/>
  <c r="J35" i="105"/>
  <c r="Y34" i="105"/>
  <c r="X34" i="105"/>
  <c r="W34" i="105"/>
  <c r="V34" i="105"/>
  <c r="U34" i="105"/>
  <c r="T34" i="105"/>
  <c r="S34" i="105"/>
  <c r="R34" i="105"/>
  <c r="Q34" i="105"/>
  <c r="P34" i="105"/>
  <c r="O34" i="105"/>
  <c r="N34" i="105"/>
  <c r="M34" i="105"/>
  <c r="L34" i="105"/>
  <c r="K34" i="105"/>
  <c r="J34" i="105"/>
  <c r="Y31" i="105"/>
  <c r="X31" i="105"/>
  <c r="W31" i="105"/>
  <c r="V31" i="105"/>
  <c r="U31" i="105"/>
  <c r="T31" i="105"/>
  <c r="S31" i="105"/>
  <c r="R31" i="105"/>
  <c r="Q31" i="105"/>
  <c r="P31" i="105"/>
  <c r="O31" i="105"/>
  <c r="N31" i="105"/>
  <c r="M31" i="105"/>
  <c r="L31" i="105"/>
  <c r="K31" i="105"/>
  <c r="J31" i="105"/>
  <c r="Y30" i="105"/>
  <c r="X30" i="105"/>
  <c r="W30" i="105"/>
  <c r="V30" i="105"/>
  <c r="U30" i="105"/>
  <c r="T30" i="105"/>
  <c r="S30" i="105"/>
  <c r="R30" i="105"/>
  <c r="Q30" i="105"/>
  <c r="P30" i="105"/>
  <c r="O30" i="105"/>
  <c r="N30" i="105"/>
  <c r="M30" i="105"/>
  <c r="L30" i="105"/>
  <c r="K30" i="105"/>
  <c r="J30" i="105"/>
  <c r="Y29" i="105"/>
  <c r="X29" i="105"/>
  <c r="W29" i="105"/>
  <c r="V29" i="105"/>
  <c r="U29" i="105"/>
  <c r="T29" i="105"/>
  <c r="S29" i="105"/>
  <c r="R29" i="105"/>
  <c r="Q29" i="105"/>
  <c r="P29" i="105"/>
  <c r="O29" i="105"/>
  <c r="N29" i="105"/>
  <c r="M29" i="105"/>
  <c r="L29" i="105"/>
  <c r="K29" i="105"/>
  <c r="J29" i="105"/>
  <c r="Y28" i="105"/>
  <c r="X28" i="105"/>
  <c r="W28" i="105"/>
  <c r="V28" i="105"/>
  <c r="U28" i="105"/>
  <c r="T28" i="105"/>
  <c r="S28" i="105"/>
  <c r="R28" i="105"/>
  <c r="Q28" i="105"/>
  <c r="P28" i="105"/>
  <c r="O28" i="105"/>
  <c r="N28" i="105"/>
  <c r="M28" i="105"/>
  <c r="L28" i="105"/>
  <c r="K28" i="105"/>
  <c r="J28" i="105"/>
  <c r="Y27" i="105"/>
  <c r="X27" i="105"/>
  <c r="W27" i="105"/>
  <c r="V27" i="105"/>
  <c r="U27" i="105"/>
  <c r="T27" i="105"/>
  <c r="S27" i="105"/>
  <c r="R27" i="105"/>
  <c r="Q27" i="105"/>
  <c r="P27" i="105"/>
  <c r="O27" i="105"/>
  <c r="N27" i="105"/>
  <c r="M27" i="105"/>
  <c r="L27" i="105"/>
  <c r="K27" i="105"/>
  <c r="J27" i="105"/>
  <c r="Y26" i="105"/>
  <c r="X26" i="105"/>
  <c r="W26" i="105"/>
  <c r="V26" i="105"/>
  <c r="U26" i="105"/>
  <c r="T26" i="105"/>
  <c r="S26" i="105"/>
  <c r="R26" i="105"/>
  <c r="Q26" i="105"/>
  <c r="P26" i="105"/>
  <c r="O26" i="105"/>
  <c r="N26" i="105"/>
  <c r="M26" i="105"/>
  <c r="L26" i="105"/>
  <c r="K26" i="105"/>
  <c r="J26" i="105"/>
  <c r="Y25" i="105"/>
  <c r="X25" i="105"/>
  <c r="W25" i="105"/>
  <c r="V25" i="105"/>
  <c r="U25" i="105"/>
  <c r="T25" i="105"/>
  <c r="S25" i="105"/>
  <c r="R25" i="105"/>
  <c r="Q25" i="105"/>
  <c r="P25" i="105"/>
  <c r="O25" i="105"/>
  <c r="N25" i="105"/>
  <c r="M25" i="105"/>
  <c r="L25" i="105"/>
  <c r="K25" i="105"/>
  <c r="J25" i="105"/>
  <c r="Y22" i="105"/>
  <c r="X22" i="105"/>
  <c r="W22" i="105"/>
  <c r="V22" i="105"/>
  <c r="U22" i="105"/>
  <c r="T22" i="105"/>
  <c r="S22" i="105"/>
  <c r="R22" i="105"/>
  <c r="Q22" i="105"/>
  <c r="P22" i="105"/>
  <c r="O22" i="105"/>
  <c r="N22" i="105"/>
  <c r="M22" i="105"/>
  <c r="L22" i="105"/>
  <c r="K22" i="105"/>
  <c r="J22" i="105"/>
  <c r="Y21" i="105"/>
  <c r="X21" i="105"/>
  <c r="W21" i="105"/>
  <c r="V21" i="105"/>
  <c r="U21" i="105"/>
  <c r="T21" i="105"/>
  <c r="S21" i="105"/>
  <c r="R21" i="105"/>
  <c r="Q21" i="105"/>
  <c r="P21" i="105"/>
  <c r="O21" i="105"/>
  <c r="N21" i="105"/>
  <c r="M21" i="105"/>
  <c r="L21" i="105"/>
  <c r="K21" i="105"/>
  <c r="J21" i="105"/>
  <c r="Y20" i="105"/>
  <c r="X20" i="105"/>
  <c r="W20" i="105"/>
  <c r="V20" i="105"/>
  <c r="U20" i="105"/>
  <c r="T20" i="105"/>
  <c r="S20" i="105"/>
  <c r="R20" i="105"/>
  <c r="Q20" i="105"/>
  <c r="P20" i="105"/>
  <c r="O20" i="105"/>
  <c r="N20" i="105"/>
  <c r="M20" i="105"/>
  <c r="L20" i="105"/>
  <c r="K20" i="105"/>
  <c r="J20" i="105"/>
  <c r="Y19" i="105"/>
  <c r="X19" i="105"/>
  <c r="W19" i="105"/>
  <c r="V19" i="105"/>
  <c r="U19" i="105"/>
  <c r="T19" i="105"/>
  <c r="S19" i="105"/>
  <c r="R19" i="105"/>
  <c r="Q19" i="105"/>
  <c r="P19" i="105"/>
  <c r="O19" i="105"/>
  <c r="N19" i="105"/>
  <c r="M19" i="105"/>
  <c r="L19" i="105"/>
  <c r="K19" i="105"/>
  <c r="J19" i="105"/>
  <c r="Y18" i="105"/>
  <c r="X18" i="105"/>
  <c r="W18" i="105"/>
  <c r="V18" i="105"/>
  <c r="U18" i="105"/>
  <c r="T18" i="105"/>
  <c r="S18" i="105"/>
  <c r="R18" i="105"/>
  <c r="Q18" i="105"/>
  <c r="P18" i="105"/>
  <c r="O18" i="105"/>
  <c r="N18" i="105"/>
  <c r="M18" i="105"/>
  <c r="L18" i="105"/>
  <c r="K18" i="105"/>
  <c r="J18" i="105"/>
  <c r="Y17" i="105"/>
  <c r="X17" i="105"/>
  <c r="W17" i="105"/>
  <c r="V17" i="105"/>
  <c r="U17" i="105"/>
  <c r="T17" i="105"/>
  <c r="S17" i="105"/>
  <c r="R17" i="105"/>
  <c r="Q17" i="105"/>
  <c r="P17" i="105"/>
  <c r="O17" i="105"/>
  <c r="N17" i="105"/>
  <c r="M17" i="105"/>
  <c r="L17" i="105"/>
  <c r="K17" i="105"/>
  <c r="J17" i="105"/>
  <c r="Y16" i="105"/>
  <c r="X16" i="105"/>
  <c r="W16" i="105"/>
  <c r="V16" i="105"/>
  <c r="U16" i="105"/>
  <c r="T16" i="105"/>
  <c r="S16" i="105"/>
  <c r="R16" i="105"/>
  <c r="Q16" i="105"/>
  <c r="P16" i="105"/>
  <c r="O16" i="105"/>
  <c r="N16" i="105"/>
  <c r="M16" i="105"/>
  <c r="L16" i="105"/>
  <c r="K16" i="105"/>
  <c r="J16" i="105"/>
  <c r="Y34" i="65"/>
  <c r="X34" i="65"/>
  <c r="W34" i="65"/>
  <c r="V34" i="65"/>
  <c r="U34" i="65"/>
  <c r="T34" i="65"/>
  <c r="S34" i="65"/>
  <c r="R34" i="65"/>
  <c r="Y33" i="65"/>
  <c r="X33" i="65"/>
  <c r="W33" i="65"/>
  <c r="V33" i="65"/>
  <c r="U33" i="65"/>
  <c r="T33" i="65"/>
  <c r="S33" i="65"/>
  <c r="R33" i="65"/>
  <c r="Y32" i="65"/>
  <c r="X32" i="65"/>
  <c r="W32" i="65"/>
  <c r="V32" i="65"/>
  <c r="U32" i="65"/>
  <c r="T32" i="65"/>
  <c r="S32" i="65"/>
  <c r="R32" i="65"/>
  <c r="Y25" i="41"/>
  <c r="X25" i="41"/>
  <c r="W25" i="41"/>
  <c r="V25" i="41"/>
  <c r="U25" i="41"/>
  <c r="T25" i="41"/>
  <c r="S25" i="41"/>
  <c r="R25" i="41"/>
  <c r="Y24" i="41"/>
  <c r="X24" i="41"/>
  <c r="W24" i="41"/>
  <c r="V24" i="41"/>
  <c r="U24" i="41"/>
  <c r="T24" i="41"/>
  <c r="S24" i="41"/>
  <c r="R24" i="4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P85" i="53" s="1"/>
  <c r="O63" i="53"/>
  <c r="O85" i="53" s="1"/>
  <c r="N63" i="53"/>
  <c r="N85" i="53" s="1"/>
  <c r="M63" i="53"/>
  <c r="L63" i="53"/>
  <c r="K63" i="53"/>
  <c r="J63" i="53"/>
  <c r="Y62" i="53"/>
  <c r="Y83" i="53" s="1"/>
  <c r="X62" i="53"/>
  <c r="X83" i="53" s="1"/>
  <c r="W62" i="53"/>
  <c r="W83" i="53" s="1"/>
  <c r="W91" i="53" s="1"/>
  <c r="V62" i="53"/>
  <c r="V83" i="53" s="1"/>
  <c r="U62" i="53"/>
  <c r="U83" i="53" s="1"/>
  <c r="T62" i="53"/>
  <c r="T83" i="53" s="1"/>
  <c r="T91" i="53" s="1"/>
  <c r="S62" i="53"/>
  <c r="S83" i="53" s="1"/>
  <c r="S91" i="53" s="1"/>
  <c r="R62" i="53"/>
  <c r="R83" i="53" s="1"/>
  <c r="Q62" i="53"/>
  <c r="Q83" i="53" s="1"/>
  <c r="P62" i="53"/>
  <c r="P83" i="53" s="1"/>
  <c r="O62" i="53"/>
  <c r="O83" i="53" s="1"/>
  <c r="N62" i="53"/>
  <c r="N83" i="53" s="1"/>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131" i="22"/>
  <c r="X131" i="22"/>
  <c r="W131" i="22"/>
  <c r="V131" i="22"/>
  <c r="U131" i="22"/>
  <c r="T131" i="22"/>
  <c r="S131" i="22"/>
  <c r="R131" i="22"/>
  <c r="Q131" i="22"/>
  <c r="P131" i="22"/>
  <c r="O131" i="22"/>
  <c r="N131" i="22"/>
  <c r="M131" i="22"/>
  <c r="L131" i="22"/>
  <c r="K131" i="22"/>
  <c r="J131" i="22"/>
  <c r="Y130" i="22"/>
  <c r="X130" i="22"/>
  <c r="W130" i="22"/>
  <c r="V130" i="22"/>
  <c r="U130" i="22"/>
  <c r="T130" i="22"/>
  <c r="S130" i="22"/>
  <c r="R130" i="22"/>
  <c r="Q130" i="22"/>
  <c r="P130" i="22"/>
  <c r="O130" i="22"/>
  <c r="N130" i="22"/>
  <c r="M130" i="22"/>
  <c r="L130" i="22"/>
  <c r="K130" i="22"/>
  <c r="J130" i="22"/>
  <c r="Y129" i="22"/>
  <c r="X129" i="22"/>
  <c r="W129" i="22"/>
  <c r="V129" i="22"/>
  <c r="U129" i="22"/>
  <c r="T129" i="22"/>
  <c r="S129" i="22"/>
  <c r="R129" i="22"/>
  <c r="Q129" i="22"/>
  <c r="P129" i="22"/>
  <c r="O129" i="22"/>
  <c r="N129" i="22"/>
  <c r="M129" i="22"/>
  <c r="L129" i="22"/>
  <c r="K129" i="22"/>
  <c r="J129" i="22"/>
  <c r="Y120" i="22"/>
  <c r="X120" i="22"/>
  <c r="W120" i="22"/>
  <c r="V120" i="22"/>
  <c r="U120" i="22"/>
  <c r="T120" i="22"/>
  <c r="S120" i="22"/>
  <c r="R120" i="22"/>
  <c r="Q120" i="22"/>
  <c r="P120" i="22"/>
  <c r="O120" i="22"/>
  <c r="N120" i="22"/>
  <c r="M120" i="22"/>
  <c r="L120" i="22"/>
  <c r="K120" i="22"/>
  <c r="J120" i="22"/>
  <c r="Y119" i="22"/>
  <c r="X119" i="22"/>
  <c r="W119" i="22"/>
  <c r="V119" i="22"/>
  <c r="U119" i="22"/>
  <c r="T119" i="22"/>
  <c r="S119" i="22"/>
  <c r="R119" i="22"/>
  <c r="Q119" i="22"/>
  <c r="P119" i="22"/>
  <c r="O119" i="22"/>
  <c r="N119" i="22"/>
  <c r="M119" i="22"/>
  <c r="L119" i="22"/>
  <c r="K119" i="22"/>
  <c r="J119" i="22"/>
  <c r="Y118" i="22"/>
  <c r="X118" i="22"/>
  <c r="W118" i="22"/>
  <c r="V118" i="22"/>
  <c r="U118" i="22"/>
  <c r="T118" i="22"/>
  <c r="S118" i="22"/>
  <c r="R118" i="22"/>
  <c r="Q118" i="22"/>
  <c r="P118" i="22"/>
  <c r="O118" i="22"/>
  <c r="N118" i="22"/>
  <c r="M118" i="22"/>
  <c r="L118" i="22"/>
  <c r="K118" i="22"/>
  <c r="J118" i="22"/>
  <c r="Y109" i="22"/>
  <c r="X109" i="22"/>
  <c r="W109" i="22"/>
  <c r="V109" i="22"/>
  <c r="U109" i="22"/>
  <c r="T109" i="22"/>
  <c r="S109" i="22"/>
  <c r="R109" i="22"/>
  <c r="Q109" i="22"/>
  <c r="P109" i="22"/>
  <c r="O109" i="22"/>
  <c r="N109" i="22"/>
  <c r="M109" i="22"/>
  <c r="L109" i="22"/>
  <c r="K109" i="22"/>
  <c r="J109" i="22"/>
  <c r="Y108" i="22"/>
  <c r="X108" i="22"/>
  <c r="W108" i="22"/>
  <c r="V108" i="22"/>
  <c r="U108" i="22"/>
  <c r="T108" i="22"/>
  <c r="S108" i="22"/>
  <c r="R108" i="22"/>
  <c r="Q108" i="22"/>
  <c r="P108" i="22"/>
  <c r="O108" i="22"/>
  <c r="N108" i="22"/>
  <c r="M108" i="22"/>
  <c r="L108" i="22"/>
  <c r="K108" i="22"/>
  <c r="J108" i="22"/>
  <c r="Y107" i="22"/>
  <c r="X107" i="22"/>
  <c r="W107" i="22"/>
  <c r="V107" i="22"/>
  <c r="U107" i="22"/>
  <c r="T107" i="22"/>
  <c r="S107" i="22"/>
  <c r="R107" i="22"/>
  <c r="Q107" i="22"/>
  <c r="P107" i="22"/>
  <c r="O107" i="22"/>
  <c r="N107" i="22"/>
  <c r="M107" i="22"/>
  <c r="L107" i="22"/>
  <c r="K107" i="22"/>
  <c r="J107" i="22"/>
  <c r="Y98" i="22"/>
  <c r="X98" i="22"/>
  <c r="W98" i="22"/>
  <c r="V98" i="22"/>
  <c r="U98" i="22"/>
  <c r="T98" i="22"/>
  <c r="S98" i="22"/>
  <c r="R98" i="22"/>
  <c r="Q98" i="22"/>
  <c r="P98" i="22"/>
  <c r="O98" i="22"/>
  <c r="N98" i="22"/>
  <c r="M98" i="22"/>
  <c r="L98" i="22"/>
  <c r="K98" i="22"/>
  <c r="J98" i="22"/>
  <c r="Y97" i="22"/>
  <c r="X97" i="22"/>
  <c r="W97" i="22"/>
  <c r="V97" i="22"/>
  <c r="U97" i="22"/>
  <c r="T97" i="22"/>
  <c r="S97" i="22"/>
  <c r="R97" i="22"/>
  <c r="Q97" i="22"/>
  <c r="P97" i="22"/>
  <c r="O97" i="22"/>
  <c r="N97" i="22"/>
  <c r="M97" i="22"/>
  <c r="L97" i="22"/>
  <c r="K97" i="22"/>
  <c r="J97" i="22"/>
  <c r="Y96" i="22"/>
  <c r="X96" i="22"/>
  <c r="W96" i="22"/>
  <c r="V96" i="22"/>
  <c r="U96" i="22"/>
  <c r="T96" i="22"/>
  <c r="S96" i="22"/>
  <c r="R96" i="22"/>
  <c r="Q96" i="22"/>
  <c r="P96" i="22"/>
  <c r="O96" i="22"/>
  <c r="N96" i="22"/>
  <c r="M96" i="22"/>
  <c r="L96" i="22"/>
  <c r="K96" i="22"/>
  <c r="J96" i="22"/>
  <c r="Y83" i="22"/>
  <c r="X83" i="22"/>
  <c r="W83" i="22"/>
  <c r="V83" i="22"/>
  <c r="U83" i="22"/>
  <c r="T83" i="22"/>
  <c r="S83" i="22"/>
  <c r="R83" i="22"/>
  <c r="Q83" i="22"/>
  <c r="P83" i="22"/>
  <c r="O83" i="22"/>
  <c r="N83" i="22"/>
  <c r="M83" i="22"/>
  <c r="L83" i="22"/>
  <c r="K83" i="22"/>
  <c r="J83" i="22"/>
  <c r="Y82" i="22"/>
  <c r="X82" i="22"/>
  <c r="W82" i="22"/>
  <c r="V82" i="22"/>
  <c r="U82" i="22"/>
  <c r="T82" i="22"/>
  <c r="S82" i="22"/>
  <c r="R82" i="22"/>
  <c r="Q82" i="22"/>
  <c r="P82" i="22"/>
  <c r="O82" i="22"/>
  <c r="N82" i="22"/>
  <c r="M82" i="22"/>
  <c r="L82" i="22"/>
  <c r="K82" i="22"/>
  <c r="J82" i="22"/>
  <c r="Y81" i="22"/>
  <c r="X81" i="22"/>
  <c r="W81" i="22"/>
  <c r="V81" i="22"/>
  <c r="U81" i="22"/>
  <c r="T81" i="22"/>
  <c r="S81" i="22"/>
  <c r="R81" i="22"/>
  <c r="Q81" i="22"/>
  <c r="P81" i="22"/>
  <c r="O81" i="22"/>
  <c r="N81" i="22"/>
  <c r="M81" i="22"/>
  <c r="L81" i="22"/>
  <c r="K81" i="22"/>
  <c r="J81" i="22"/>
  <c r="Y72" i="22"/>
  <c r="X72" i="22"/>
  <c r="W72" i="22"/>
  <c r="V72" i="22"/>
  <c r="U72" i="22"/>
  <c r="T72" i="22"/>
  <c r="S72" i="22"/>
  <c r="R72" i="22"/>
  <c r="Q72" i="22"/>
  <c r="P72" i="22"/>
  <c r="O72" i="22"/>
  <c r="N72" i="22"/>
  <c r="M72" i="22"/>
  <c r="L72" i="22"/>
  <c r="K72" i="22"/>
  <c r="J72" i="22"/>
  <c r="Y71" i="22"/>
  <c r="X71" i="22"/>
  <c r="W71" i="22"/>
  <c r="V71" i="22"/>
  <c r="U71" i="22"/>
  <c r="T71" i="22"/>
  <c r="S71" i="22"/>
  <c r="R71" i="22"/>
  <c r="Q71" i="22"/>
  <c r="P71" i="22"/>
  <c r="O71" i="22"/>
  <c r="N71" i="22"/>
  <c r="M71" i="22"/>
  <c r="L71" i="22"/>
  <c r="K71" i="22"/>
  <c r="J71" i="22"/>
  <c r="Y70" i="22"/>
  <c r="X70" i="22"/>
  <c r="W70" i="22"/>
  <c r="V70" i="22"/>
  <c r="U70" i="22"/>
  <c r="T70" i="22"/>
  <c r="S70" i="22"/>
  <c r="R70" i="22"/>
  <c r="Q70" i="22"/>
  <c r="P70" i="22"/>
  <c r="O70" i="22"/>
  <c r="N70" i="22"/>
  <c r="M70" i="22"/>
  <c r="L70" i="22"/>
  <c r="K70" i="22"/>
  <c r="J70" i="22"/>
  <c r="Y61" i="22"/>
  <c r="X61" i="22"/>
  <c r="W61" i="22"/>
  <c r="V61" i="22"/>
  <c r="U61" i="22"/>
  <c r="T61" i="22"/>
  <c r="S61" i="22"/>
  <c r="R61" i="22"/>
  <c r="Q61" i="22"/>
  <c r="P61" i="22"/>
  <c r="O61" i="22"/>
  <c r="N61" i="22"/>
  <c r="M61" i="22"/>
  <c r="L61" i="22"/>
  <c r="K61" i="22"/>
  <c r="J61" i="22"/>
  <c r="Y60" i="22"/>
  <c r="X60" i="22"/>
  <c r="W60" i="22"/>
  <c r="V60" i="22"/>
  <c r="U60" i="22"/>
  <c r="T60" i="22"/>
  <c r="S60" i="22"/>
  <c r="R60" i="22"/>
  <c r="Q60" i="22"/>
  <c r="P60" i="22"/>
  <c r="O60" i="22"/>
  <c r="N60" i="22"/>
  <c r="M60" i="22"/>
  <c r="L60" i="22"/>
  <c r="K60" i="22"/>
  <c r="J60" i="22"/>
  <c r="Y59" i="22"/>
  <c r="X59" i="22"/>
  <c r="W59" i="22"/>
  <c r="V59" i="22"/>
  <c r="U59" i="22"/>
  <c r="T59" i="22"/>
  <c r="S59" i="22"/>
  <c r="R59" i="22"/>
  <c r="Q59" i="22"/>
  <c r="P59" i="22"/>
  <c r="O59" i="22"/>
  <c r="N59" i="22"/>
  <c r="M59" i="22"/>
  <c r="L59" i="22"/>
  <c r="K59" i="22"/>
  <c r="J59" i="22"/>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O91" i="53" l="1"/>
  <c r="P91" i="53"/>
  <c r="X91" i="53"/>
  <c r="Q91" i="53"/>
  <c r="N91" i="53"/>
  <c r="R91" i="53"/>
  <c r="Y91" i="53"/>
  <c r="U91" i="53"/>
  <c r="V91" i="53"/>
  <c r="M89" i="53"/>
  <c r="M267" i="53" s="1"/>
  <c r="U89" i="53"/>
  <c r="U267" i="53" s="1"/>
  <c r="J89" i="53"/>
  <c r="J267" i="53" s="1"/>
  <c r="N89" i="53"/>
  <c r="N267" i="53" s="1"/>
  <c r="R89" i="53"/>
  <c r="R267" i="53" s="1"/>
  <c r="V89" i="53"/>
  <c r="V267" i="53" s="1"/>
  <c r="Q89" i="53"/>
  <c r="Q267" i="53" s="1"/>
  <c r="Y89" i="53"/>
  <c r="Y267" i="53" s="1"/>
  <c r="K89" i="53"/>
  <c r="K267" i="53" s="1"/>
  <c r="O89" i="53"/>
  <c r="O267" i="53" s="1"/>
  <c r="S89" i="53"/>
  <c r="S267" i="53" s="1"/>
  <c r="W89" i="53"/>
  <c r="W267" i="53" s="1"/>
  <c r="L89" i="53"/>
  <c r="L267" i="53" s="1"/>
  <c r="P89" i="53"/>
  <c r="P267" i="53" s="1"/>
  <c r="T89" i="53"/>
  <c r="T267" i="53" s="1"/>
  <c r="X89" i="53"/>
  <c r="X267" i="53" s="1"/>
  <c r="S24" i="65"/>
  <c r="S94" i="65" s="1"/>
  <c r="W24" i="65"/>
  <c r="W94" i="65" s="1"/>
  <c r="W105" i="65" s="1"/>
  <c r="S25" i="65"/>
  <c r="S95" i="65" s="1"/>
  <c r="W25" i="65"/>
  <c r="W95" i="65" s="1"/>
  <c r="W106" i="65" s="1"/>
  <c r="T24" i="65"/>
  <c r="T94" i="65" s="1"/>
  <c r="X24" i="65"/>
  <c r="X94" i="65" s="1"/>
  <c r="T25" i="65"/>
  <c r="T95" i="65" s="1"/>
  <c r="X25" i="65"/>
  <c r="X95" i="65" s="1"/>
  <c r="U24" i="65"/>
  <c r="U94" i="65" s="1"/>
  <c r="U105" i="65" s="1"/>
  <c r="Y24" i="65"/>
  <c r="Y94" i="65" s="1"/>
  <c r="Y105" i="65" s="1"/>
  <c r="U25" i="65"/>
  <c r="U95" i="65" s="1"/>
  <c r="U106" i="65" s="1"/>
  <c r="Y25" i="65"/>
  <c r="Y95" i="65" s="1"/>
  <c r="Y106" i="65" s="1"/>
  <c r="R24" i="65"/>
  <c r="R94" i="65" s="1"/>
  <c r="V24" i="65"/>
  <c r="V94" i="65" s="1"/>
  <c r="R25" i="65"/>
  <c r="R95" i="65" s="1"/>
  <c r="V25" i="65"/>
  <c r="V95" i="65" s="1"/>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85" i="22"/>
  <c r="U84" i="22"/>
  <c r="U74" i="22"/>
  <c r="U65" i="65" s="1"/>
  <c r="U73" i="22"/>
  <c r="U56" i="65" s="1"/>
  <c r="Y85" i="22"/>
  <c r="Y84" i="22"/>
  <c r="Y57" i="65" s="1"/>
  <c r="Y74" i="22"/>
  <c r="Y73" i="22"/>
  <c r="Y56" i="65" s="1"/>
  <c r="U100" i="22"/>
  <c r="U99" i="22"/>
  <c r="U58" i="65" s="1"/>
  <c r="Y100" i="22"/>
  <c r="Y99" i="22"/>
  <c r="Y58" i="65" s="1"/>
  <c r="U111" i="22"/>
  <c r="U110" i="22"/>
  <c r="U59" i="65" s="1"/>
  <c r="Y111" i="22"/>
  <c r="Y110" i="22"/>
  <c r="U122" i="22"/>
  <c r="U121" i="22"/>
  <c r="Y121" i="22"/>
  <c r="Y60" i="65" s="1"/>
  <c r="Y122" i="22"/>
  <c r="Y69" i="65" s="1"/>
  <c r="U133" i="22"/>
  <c r="U132" i="22"/>
  <c r="U61" i="65" s="1"/>
  <c r="Y133" i="22"/>
  <c r="Y70" i="65" s="1"/>
  <c r="Y132" i="22"/>
  <c r="Y61" i="65" s="1"/>
  <c r="U62" i="22"/>
  <c r="Y62" i="22"/>
  <c r="U63" i="22"/>
  <c r="Y63" i="22"/>
  <c r="R85" i="22"/>
  <c r="R66" i="65" s="1"/>
  <c r="R84" i="22"/>
  <c r="R57" i="65" s="1"/>
  <c r="R74" i="22"/>
  <c r="R65" i="65" s="1"/>
  <c r="R73" i="22"/>
  <c r="R56" i="65" s="1"/>
  <c r="V74" i="22"/>
  <c r="V73" i="22"/>
  <c r="V85" i="22"/>
  <c r="V66" i="65" s="1"/>
  <c r="V84" i="22"/>
  <c r="V57" i="65" s="1"/>
  <c r="R100" i="22"/>
  <c r="R99" i="22"/>
  <c r="R58" i="65" s="1"/>
  <c r="V100" i="22"/>
  <c r="V99" i="22"/>
  <c r="V58" i="65" s="1"/>
  <c r="R111" i="22"/>
  <c r="R110" i="22"/>
  <c r="R59" i="65" s="1"/>
  <c r="V111" i="22"/>
  <c r="V68" i="65" s="1"/>
  <c r="V110" i="22"/>
  <c r="V59" i="65" s="1"/>
  <c r="R122" i="22"/>
  <c r="R121" i="22"/>
  <c r="V122" i="22"/>
  <c r="V69" i="65" s="1"/>
  <c r="V121" i="22"/>
  <c r="V60" i="65" s="1"/>
  <c r="R133" i="22"/>
  <c r="R132" i="22"/>
  <c r="V133" i="22"/>
  <c r="V70" i="65" s="1"/>
  <c r="V132" i="22"/>
  <c r="V61" i="65" s="1"/>
  <c r="R62" i="22"/>
  <c r="V62" i="22"/>
  <c r="R63" i="22"/>
  <c r="V63" i="22"/>
  <c r="S85" i="22"/>
  <c r="S84" i="22"/>
  <c r="S57" i="65" s="1"/>
  <c r="S74" i="22"/>
  <c r="S65" i="65" s="1"/>
  <c r="S73" i="22"/>
  <c r="S56" i="65" s="1"/>
  <c r="W85" i="22"/>
  <c r="W66" i="65" s="1"/>
  <c r="W84" i="22"/>
  <c r="W57" i="65" s="1"/>
  <c r="W74" i="22"/>
  <c r="W65" i="65" s="1"/>
  <c r="W73" i="22"/>
  <c r="W56" i="65" s="1"/>
  <c r="S100" i="22"/>
  <c r="S67" i="65" s="1"/>
  <c r="S99" i="22"/>
  <c r="S58" i="65" s="1"/>
  <c r="W100" i="22"/>
  <c r="W67" i="65" s="1"/>
  <c r="W99" i="22"/>
  <c r="W58" i="65" s="1"/>
  <c r="S111" i="22"/>
  <c r="S110" i="22"/>
  <c r="S59" i="65" s="1"/>
  <c r="W111" i="22"/>
  <c r="W68" i="65" s="1"/>
  <c r="W110" i="22"/>
  <c r="W59" i="65" s="1"/>
  <c r="S121" i="22"/>
  <c r="S122" i="22"/>
  <c r="S69" i="65" s="1"/>
  <c r="W122" i="22"/>
  <c r="W121" i="22"/>
  <c r="W60" i="65" s="1"/>
  <c r="S133" i="22"/>
  <c r="S132" i="22"/>
  <c r="W133" i="22"/>
  <c r="W70" i="65" s="1"/>
  <c r="W132" i="22"/>
  <c r="W61" i="65" s="1"/>
  <c r="S62" i="22"/>
  <c r="W62" i="22"/>
  <c r="S63" i="22"/>
  <c r="W63" i="22"/>
  <c r="T85" i="22"/>
  <c r="T84" i="22"/>
  <c r="T74" i="22"/>
  <c r="T73" i="22"/>
  <c r="X85" i="22"/>
  <c r="X66" i="65" s="1"/>
  <c r="X84" i="22"/>
  <c r="X74" i="22"/>
  <c r="X73" i="22"/>
  <c r="T100" i="22"/>
  <c r="T99" i="22"/>
  <c r="X100" i="22"/>
  <c r="X67" i="65" s="1"/>
  <c r="X99" i="22"/>
  <c r="X58" i="65" s="1"/>
  <c r="T111" i="22"/>
  <c r="T110" i="22"/>
  <c r="X111" i="22"/>
  <c r="X68" i="65" s="1"/>
  <c r="X110" i="22"/>
  <c r="X59" i="65" s="1"/>
  <c r="T122" i="22"/>
  <c r="T69" i="65" s="1"/>
  <c r="T121" i="22"/>
  <c r="X122" i="22"/>
  <c r="X69" i="65" s="1"/>
  <c r="X121" i="22"/>
  <c r="T133" i="22"/>
  <c r="T132" i="22"/>
  <c r="X133" i="22"/>
  <c r="X70" i="65" s="1"/>
  <c r="X132" i="22"/>
  <c r="X61" i="65" s="1"/>
  <c r="T62" i="22"/>
  <c r="X62" i="22"/>
  <c r="T63" i="22"/>
  <c r="X63" i="22"/>
  <c r="R105" i="65" l="1"/>
  <c r="R36" i="82"/>
  <c r="T105" i="65"/>
  <c r="T36" i="82"/>
  <c r="X105" i="65"/>
  <c r="V36" i="82"/>
  <c r="S106" i="65"/>
  <c r="S37" i="82"/>
  <c r="T106" i="65"/>
  <c r="T37" i="82"/>
  <c r="R106" i="65"/>
  <c r="R37" i="82"/>
  <c r="S105" i="65"/>
  <c r="S36" i="82"/>
  <c r="V105" i="65"/>
  <c r="U36" i="82"/>
  <c r="V106" i="65"/>
  <c r="U37" i="82"/>
  <c r="X106" i="65"/>
  <c r="V37" i="82"/>
  <c r="V113" i="22"/>
  <c r="X101" i="22"/>
  <c r="W75" i="22"/>
  <c r="V135" i="22"/>
  <c r="X113" i="22"/>
  <c r="W113" i="22"/>
  <c r="W135" i="22"/>
  <c r="X124" i="22"/>
  <c r="R87" i="22"/>
  <c r="U134" i="22"/>
  <c r="R101" i="22"/>
  <c r="X134" i="22"/>
  <c r="Y86" i="22"/>
  <c r="R86" i="22"/>
  <c r="R112" i="22"/>
  <c r="X87" i="22"/>
  <c r="U112" i="22"/>
  <c r="W134" i="22"/>
  <c r="Y134" i="22"/>
  <c r="W101" i="22"/>
  <c r="S75" i="22"/>
  <c r="V87" i="22"/>
  <c r="S124" i="22"/>
  <c r="W123" i="22"/>
  <c r="W112" i="22"/>
  <c r="U101" i="22"/>
  <c r="W76" i="22"/>
  <c r="R76" i="22"/>
  <c r="Y124" i="22"/>
  <c r="V112" i="22"/>
  <c r="R75" i="22"/>
  <c r="X135" i="22"/>
  <c r="V134" i="22"/>
  <c r="Y123" i="22"/>
  <c r="V101" i="22"/>
  <c r="S102" i="22"/>
  <c r="V86" i="22"/>
  <c r="Y75" i="22"/>
  <c r="X102" i="22"/>
  <c r="V123" i="22"/>
  <c r="V124" i="22"/>
  <c r="Y101" i="22"/>
  <c r="S86" i="22"/>
  <c r="U75" i="22"/>
  <c r="V67" i="65"/>
  <c r="V102" i="22"/>
  <c r="Y65" i="65"/>
  <c r="Y76" i="22"/>
  <c r="T67" i="65"/>
  <c r="T102" i="22"/>
  <c r="T68" i="65"/>
  <c r="T113" i="22"/>
  <c r="W69" i="65"/>
  <c r="W124" i="22"/>
  <c r="R60" i="65"/>
  <c r="R123" i="22"/>
  <c r="U57" i="65"/>
  <c r="U86" i="22"/>
  <c r="U76" i="22"/>
  <c r="Y67" i="65"/>
  <c r="Y102" i="22"/>
  <c r="Y135" i="22"/>
  <c r="T124" i="22"/>
  <c r="S112" i="22"/>
  <c r="W102" i="22"/>
  <c r="S101" i="22"/>
  <c r="W86" i="22"/>
  <c r="T70" i="65"/>
  <c r="T135" i="22"/>
  <c r="T66" i="65"/>
  <c r="T87" i="22"/>
  <c r="S61" i="65"/>
  <c r="S134" i="22"/>
  <c r="R61" i="65"/>
  <c r="R134" i="22"/>
  <c r="V56" i="65"/>
  <c r="V75" i="22"/>
  <c r="U60" i="65"/>
  <c r="U123" i="22"/>
  <c r="W87" i="22"/>
  <c r="T61" i="65"/>
  <c r="T134" i="22"/>
  <c r="T59" i="65"/>
  <c r="T112" i="22"/>
  <c r="T58" i="65"/>
  <c r="T101" i="22"/>
  <c r="X57" i="65"/>
  <c r="X86" i="22"/>
  <c r="T57" i="65"/>
  <c r="T86" i="22"/>
  <c r="T123" i="22"/>
  <c r="T60" i="65"/>
  <c r="S70" i="65"/>
  <c r="S135" i="22"/>
  <c r="S123" i="22"/>
  <c r="S60" i="65"/>
  <c r="S68" i="65"/>
  <c r="S113" i="22"/>
  <c r="S66" i="65"/>
  <c r="S87" i="22"/>
  <c r="R70" i="65"/>
  <c r="R135" i="22"/>
  <c r="R69" i="65"/>
  <c r="R124" i="22"/>
  <c r="R113" i="22"/>
  <c r="R68" i="65"/>
  <c r="R67" i="65"/>
  <c r="R102" i="22"/>
  <c r="V65" i="65"/>
  <c r="V76" i="22"/>
  <c r="U65" i="22"/>
  <c r="U64" i="65"/>
  <c r="U64" i="22"/>
  <c r="U55" i="65"/>
  <c r="U70" i="65"/>
  <c r="U135" i="22"/>
  <c r="U69" i="65"/>
  <c r="U124" i="22"/>
  <c r="U68" i="65"/>
  <c r="U113" i="22"/>
  <c r="U67" i="65"/>
  <c r="U102" i="22"/>
  <c r="Y66" i="65"/>
  <c r="Y87" i="22"/>
  <c r="U66" i="65"/>
  <c r="U87" i="22"/>
  <c r="T65" i="22"/>
  <c r="T64" i="65"/>
  <c r="T64" i="22"/>
  <c r="T55" i="65"/>
  <c r="Y65" i="22"/>
  <c r="Y64" i="65"/>
  <c r="Y64" i="22"/>
  <c r="Y55" i="65"/>
  <c r="Y112" i="22"/>
  <c r="Y59" i="65"/>
  <c r="P98" i="73"/>
  <c r="P85" i="72"/>
  <c r="P116" i="71"/>
  <c r="P27" i="80"/>
  <c r="M99" i="73"/>
  <c r="M86" i="72"/>
  <c r="M117" i="71"/>
  <c r="M28" i="80"/>
  <c r="O99" i="73"/>
  <c r="O86" i="72"/>
  <c r="O117" i="71"/>
  <c r="O28" i="80"/>
  <c r="K98" i="73"/>
  <c r="K85" i="72"/>
  <c r="K116" i="71"/>
  <c r="K27" i="80"/>
  <c r="X65" i="22"/>
  <c r="X64" i="65"/>
  <c r="X64" i="22"/>
  <c r="X55" i="65"/>
  <c r="X123" i="22"/>
  <c r="X60" i="65"/>
  <c r="X75" i="22"/>
  <c r="X56" i="65"/>
  <c r="T75" i="22"/>
  <c r="T56" i="65"/>
  <c r="S65" i="22"/>
  <c r="S64" i="65"/>
  <c r="S64" i="22"/>
  <c r="S55" i="65"/>
  <c r="R65" i="22"/>
  <c r="R64" i="65"/>
  <c r="R64" i="22"/>
  <c r="R55" i="65"/>
  <c r="Y113" i="22"/>
  <c r="Y68" i="65"/>
  <c r="N86" i="72"/>
  <c r="N117" i="71"/>
  <c r="N99" i="73"/>
  <c r="N28" i="80"/>
  <c r="J98" i="73"/>
  <c r="J85" i="72"/>
  <c r="J116" i="71"/>
  <c r="J27" i="80"/>
  <c r="X112" i="22"/>
  <c r="S76" i="22"/>
  <c r="X76" i="22"/>
  <c r="X65" i="65"/>
  <c r="T76" i="22"/>
  <c r="T65" i="65"/>
  <c r="W65" i="22"/>
  <c r="W64" i="65"/>
  <c r="W64" i="22"/>
  <c r="W55" i="65"/>
  <c r="V65" i="22"/>
  <c r="V64" i="65"/>
  <c r="V64" i="22"/>
  <c r="V55" i="65"/>
  <c r="L86" i="72"/>
  <c r="L117" i="71"/>
  <c r="L99" i="73"/>
  <c r="L28" i="80"/>
  <c r="Q98" i="73"/>
  <c r="Q85" i="72"/>
  <c r="Q116" i="71"/>
  <c r="Q27" i="80"/>
  <c r="W77" i="22" l="1"/>
  <c r="X114" i="22"/>
  <c r="X33" i="41" s="1"/>
  <c r="X154" i="41" s="1"/>
  <c r="X103" i="22"/>
  <c r="X16" i="111" s="1"/>
  <c r="V114" i="22"/>
  <c r="V33" i="41" s="1"/>
  <c r="V154" i="41" s="1"/>
  <c r="X136" i="22"/>
  <c r="X35" i="41" s="1"/>
  <c r="X156" i="41" s="1"/>
  <c r="X125" i="22"/>
  <c r="X34" i="41" s="1"/>
  <c r="X155" i="41" s="1"/>
  <c r="V136" i="22"/>
  <c r="V35" i="41" s="1"/>
  <c r="V156" i="41" s="1"/>
  <c r="S114" i="22"/>
  <c r="S33" i="41" s="1"/>
  <c r="S154" i="41" s="1"/>
  <c r="R88" i="22"/>
  <c r="R33" i="53" s="1"/>
  <c r="V103" i="22"/>
  <c r="V32" i="41" s="1"/>
  <c r="V153" i="41" s="1"/>
  <c r="W136" i="22"/>
  <c r="W35" i="41" s="1"/>
  <c r="W156" i="41" s="1"/>
  <c r="R114" i="22"/>
  <c r="R33" i="41" s="1"/>
  <c r="R154" i="41" s="1"/>
  <c r="U136" i="22"/>
  <c r="U35" i="41" s="1"/>
  <c r="U156" i="41" s="1"/>
  <c r="Y103" i="22"/>
  <c r="Y16" i="111" s="1"/>
  <c r="R103" i="22"/>
  <c r="R32" i="41" s="1"/>
  <c r="R153" i="41" s="1"/>
  <c r="Y136" i="22"/>
  <c r="Y35" i="41" s="1"/>
  <c r="Y156" i="41" s="1"/>
  <c r="R77" i="22"/>
  <c r="R30" i="41" s="1"/>
  <c r="R151" i="41" s="1"/>
  <c r="S125" i="22"/>
  <c r="S34" i="41" s="1"/>
  <c r="S155" i="41" s="1"/>
  <c r="U103" i="22"/>
  <c r="U18" i="74" s="1"/>
  <c r="Y77" i="22"/>
  <c r="Y32" i="53" s="1"/>
  <c r="V88" i="22"/>
  <c r="V58" i="80" s="1"/>
  <c r="W114" i="22"/>
  <c r="W188" i="80" s="1"/>
  <c r="U88" i="22"/>
  <c r="U31" i="41" s="1"/>
  <c r="U152" i="41" s="1"/>
  <c r="Y88" i="22"/>
  <c r="Y31" i="41" s="1"/>
  <c r="Y152" i="41" s="1"/>
  <c r="U114" i="22"/>
  <c r="U33" i="41" s="1"/>
  <c r="U154" i="41" s="1"/>
  <c r="S77" i="22"/>
  <c r="S30" i="41" s="1"/>
  <c r="S151" i="41" s="1"/>
  <c r="X88" i="22"/>
  <c r="X58" i="80" s="1"/>
  <c r="V125" i="22"/>
  <c r="V34" i="41" s="1"/>
  <c r="V155" i="41" s="1"/>
  <c r="Y125" i="22"/>
  <c r="Y189" i="80" s="1"/>
  <c r="W103" i="22"/>
  <c r="W16" i="111" s="1"/>
  <c r="R136" i="22"/>
  <c r="R35" i="41" s="1"/>
  <c r="R156" i="41" s="1"/>
  <c r="T125" i="22"/>
  <c r="T189" i="80" s="1"/>
  <c r="U77" i="22"/>
  <c r="U30" i="41" s="1"/>
  <c r="U151" i="41" s="1"/>
  <c r="S88" i="22"/>
  <c r="S33" i="53" s="1"/>
  <c r="S136" i="22"/>
  <c r="S35" i="41" s="1"/>
  <c r="S156" i="41" s="1"/>
  <c r="V66" i="22"/>
  <c r="V29" i="41" s="1"/>
  <c r="V150" i="41" s="1"/>
  <c r="T88" i="22"/>
  <c r="T31" i="41" s="1"/>
  <c r="T152" i="41" s="1"/>
  <c r="W88" i="22"/>
  <c r="W31" i="41" s="1"/>
  <c r="W152" i="41" s="1"/>
  <c r="W125" i="22"/>
  <c r="R66" i="22"/>
  <c r="R56" i="80" s="1"/>
  <c r="U66" i="22"/>
  <c r="V77" i="22"/>
  <c r="V57" i="80" s="1"/>
  <c r="T103" i="22"/>
  <c r="T18" i="74" s="1"/>
  <c r="S103" i="22"/>
  <c r="S18" i="74" s="1"/>
  <c r="Y66" i="22"/>
  <c r="T136" i="22"/>
  <c r="T35" i="41" s="1"/>
  <c r="T156" i="41" s="1"/>
  <c r="U125" i="22"/>
  <c r="U34" i="41" s="1"/>
  <c r="U155" i="41" s="1"/>
  <c r="R125" i="22"/>
  <c r="R34" i="41" s="1"/>
  <c r="R155" i="41" s="1"/>
  <c r="T114" i="22"/>
  <c r="T33" i="41" s="1"/>
  <c r="T154" i="41" s="1"/>
  <c r="W66" i="22"/>
  <c r="W56" i="80" s="1"/>
  <c r="S66" i="22"/>
  <c r="S31" i="53" s="1"/>
  <c r="X77" i="22"/>
  <c r="X57" i="80" s="1"/>
  <c r="X66" i="22"/>
  <c r="X29" i="41" s="1"/>
  <c r="X150" i="41" s="1"/>
  <c r="T66" i="22"/>
  <c r="T29" i="41" s="1"/>
  <c r="T150" i="41" s="1"/>
  <c r="T77" i="22"/>
  <c r="T30" i="41" s="1"/>
  <c r="T151" i="41" s="1"/>
  <c r="Y114" i="22"/>
  <c r="Y188" i="80" s="1"/>
  <c r="Y31" i="53"/>
  <c r="W30" i="41"/>
  <c r="W151" i="41" s="1"/>
  <c r="W57" i="80"/>
  <c r="W32" i="53"/>
  <c r="X188" i="80"/>
  <c r="V188" i="80" l="1"/>
  <c r="X32" i="41"/>
  <c r="X153" i="41" s="1"/>
  <c r="Y191" i="80"/>
  <c r="Y192" i="80" s="1"/>
  <c r="X189" i="80"/>
  <c r="X18" i="74"/>
  <c r="V31" i="41"/>
  <c r="V152" i="41" s="1"/>
  <c r="R32" i="53"/>
  <c r="S188" i="80"/>
  <c r="Y92" i="22"/>
  <c r="Y17" i="111" s="1"/>
  <c r="U188" i="80"/>
  <c r="R31" i="41"/>
  <c r="R152" i="41" s="1"/>
  <c r="R57" i="80"/>
  <c r="R58" i="80"/>
  <c r="V18" i="74"/>
  <c r="Y32" i="41"/>
  <c r="Y153" i="41" s="1"/>
  <c r="Y18" i="74"/>
  <c r="V16" i="111"/>
  <c r="V28" i="111" s="1"/>
  <c r="V34" i="111" s="1"/>
  <c r="W33" i="41"/>
  <c r="W154" i="41" s="1"/>
  <c r="Y33" i="53"/>
  <c r="Y34" i="53" s="1"/>
  <c r="R188" i="80"/>
  <c r="Y30" i="41"/>
  <c r="Y151" i="41" s="1"/>
  <c r="Y58" i="80"/>
  <c r="T34" i="41"/>
  <c r="T155" i="41" s="1"/>
  <c r="R29" i="41"/>
  <c r="R150" i="41" s="1"/>
  <c r="R16" i="111"/>
  <c r="R28" i="111" s="1"/>
  <c r="R34" i="111" s="1"/>
  <c r="U33" i="53"/>
  <c r="X31" i="41"/>
  <c r="X152" i="41" s="1"/>
  <c r="S16" i="111"/>
  <c r="S28" i="111" s="1"/>
  <c r="S34" i="111" s="1"/>
  <c r="R18" i="74"/>
  <c r="R92" i="22"/>
  <c r="R17" i="111" s="1"/>
  <c r="S32" i="53"/>
  <c r="S34" i="53" s="1"/>
  <c r="R189" i="80"/>
  <c r="S189" i="80"/>
  <c r="U16" i="111"/>
  <c r="U27" i="111" s="1"/>
  <c r="U33" i="111" s="1"/>
  <c r="R31" i="53"/>
  <c r="U58" i="80"/>
  <c r="U32" i="41"/>
  <c r="U153" i="41" s="1"/>
  <c r="S57" i="80"/>
  <c r="W18" i="74"/>
  <c r="Y57" i="80"/>
  <c r="V33" i="53"/>
  <c r="S32" i="41"/>
  <c r="S153" i="41" s="1"/>
  <c r="S58" i="80"/>
  <c r="V31" i="53"/>
  <c r="V189" i="80"/>
  <c r="V191" i="80" s="1"/>
  <c r="V192" i="80" s="1"/>
  <c r="Y34" i="41"/>
  <c r="Y155" i="41" s="1"/>
  <c r="S31" i="41"/>
  <c r="S152" i="41" s="1"/>
  <c r="W33" i="53"/>
  <c r="T16" i="111"/>
  <c r="T27" i="111" s="1"/>
  <c r="T33" i="111" s="1"/>
  <c r="W58" i="80"/>
  <c r="W59" i="80" s="1"/>
  <c r="X33" i="53"/>
  <c r="T31" i="53"/>
  <c r="S92" i="22"/>
  <c r="S17" i="111" s="1"/>
  <c r="T58" i="80"/>
  <c r="U92" i="22"/>
  <c r="U17" i="111" s="1"/>
  <c r="U32" i="53"/>
  <c r="T33" i="53"/>
  <c r="U57" i="80"/>
  <c r="W32" i="41"/>
  <c r="W153" i="41" s="1"/>
  <c r="U56" i="80"/>
  <c r="V56" i="80"/>
  <c r="V59" i="80" s="1"/>
  <c r="Y33" i="41"/>
  <c r="Y154" i="41" s="1"/>
  <c r="U29" i="41"/>
  <c r="U150" i="41" s="1"/>
  <c r="S56" i="80"/>
  <c r="X32" i="53"/>
  <c r="U31" i="53"/>
  <c r="X30" i="41"/>
  <c r="X151" i="41" s="1"/>
  <c r="V92" i="22"/>
  <c r="V17" i="111" s="1"/>
  <c r="W34" i="41"/>
  <c r="W155" i="41" s="1"/>
  <c r="W189" i="80"/>
  <c r="W191" i="80" s="1"/>
  <c r="W192" i="80" s="1"/>
  <c r="T32" i="41"/>
  <c r="T153" i="41" s="1"/>
  <c r="T56" i="80"/>
  <c r="V32" i="53"/>
  <c r="U189" i="80"/>
  <c r="V30" i="41"/>
  <c r="V151" i="41" s="1"/>
  <c r="S29" i="41"/>
  <c r="S150" i="41" s="1"/>
  <c r="Y56" i="80"/>
  <c r="Y29" i="41"/>
  <c r="Y150" i="41" s="1"/>
  <c r="X31" i="53"/>
  <c r="X92" i="22"/>
  <c r="X17" i="111" s="1"/>
  <c r="W29" i="41"/>
  <c r="W150" i="41" s="1"/>
  <c r="T188" i="80"/>
  <c r="T191" i="80" s="1"/>
  <c r="T192" i="80" s="1"/>
  <c r="T32" i="53"/>
  <c r="T92" i="22"/>
  <c r="T17" i="111" s="1"/>
  <c r="T57" i="80"/>
  <c r="W31" i="53"/>
  <c r="X56" i="80"/>
  <c r="X59" i="80" s="1"/>
  <c r="W92" i="22"/>
  <c r="W17" i="111" s="1"/>
  <c r="W27" i="111"/>
  <c r="W33" i="111" s="1"/>
  <c r="W28" i="111"/>
  <c r="W34" i="111" s="1"/>
  <c r="Y27" i="111"/>
  <c r="Y33" i="111" s="1"/>
  <c r="Y28" i="111"/>
  <c r="Y34" i="111" s="1"/>
  <c r="X28" i="111"/>
  <c r="X34" i="111" s="1"/>
  <c r="X27" i="111"/>
  <c r="X33" i="111" s="1"/>
  <c r="X191" i="80"/>
  <c r="X192" i="80" s="1"/>
  <c r="U191" i="80" l="1"/>
  <c r="U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70" i="90"/>
  <c r="X170" i="90"/>
  <c r="Y169" i="90"/>
  <c r="X169" i="90"/>
  <c r="Y168" i="90"/>
  <c r="X168" i="90"/>
  <c r="Y167" i="90"/>
  <c r="X167" i="90"/>
  <c r="Y166" i="90"/>
  <c r="X166" i="90"/>
  <c r="Y225" i="53"/>
  <c r="X293" i="73"/>
  <c r="Y293" i="73"/>
  <c r="Y93" i="74"/>
  <c r="X93" i="74"/>
  <c r="Y91" i="74"/>
  <c r="X90" i="74"/>
  <c r="Y89" i="74"/>
  <c r="Y87" i="74"/>
  <c r="X87" i="74"/>
  <c r="X86" i="74"/>
  <c r="Y85" i="74"/>
  <c r="Y79" i="74"/>
  <c r="Y77" i="74"/>
  <c r="X77" i="74"/>
  <c r="Y75" i="74"/>
  <c r="X75" i="74"/>
  <c r="X74" i="74"/>
  <c r="Y73" i="74"/>
  <c r="X84" i="74"/>
  <c r="X72" i="74"/>
  <c r="Y103" i="41"/>
  <c r="X103" i="41"/>
  <c r="Y186" i="105"/>
  <c r="Y183" i="105"/>
  <c r="Y181" i="105"/>
  <c r="Y175" i="105"/>
  <c r="X175" i="105"/>
  <c r="X173" i="105"/>
  <c r="Y172" i="105"/>
  <c r="Y170" i="105"/>
  <c r="Y158" i="105"/>
  <c r="X158" i="105"/>
  <c r="Y130" i="105"/>
  <c r="Y108" i="105"/>
  <c r="X100" i="105"/>
  <c r="X96" i="105"/>
  <c r="Y100" i="105"/>
  <c r="Y98" i="105"/>
  <c r="X98" i="105"/>
  <c r="Y96" i="105"/>
  <c r="Y94" i="105"/>
  <c r="X94" i="105"/>
  <c r="Y110" i="105"/>
  <c r="Y107" i="105"/>
  <c r="Y106" i="105"/>
  <c r="Y105" i="105"/>
  <c r="Y136" i="105"/>
  <c r="Y99" i="105"/>
  <c r="X99" i="105"/>
  <c r="Y95" i="105"/>
  <c r="X95" i="105"/>
  <c r="Y185" i="105"/>
  <c r="W170" i="90"/>
  <c r="V170" i="90"/>
  <c r="W169" i="90"/>
  <c r="V169" i="90"/>
  <c r="W168" i="90"/>
  <c r="V168" i="90"/>
  <c r="W167" i="90"/>
  <c r="V167" i="90"/>
  <c r="W166" i="90"/>
  <c r="V166" i="90"/>
  <c r="V78" i="83"/>
  <c r="V226" i="53"/>
  <c r="W293" i="73"/>
  <c r="V293" i="73"/>
  <c r="V93" i="74"/>
  <c r="V91" i="74"/>
  <c r="V89" i="74"/>
  <c r="V87" i="74"/>
  <c r="V85" i="74"/>
  <c r="V79" i="74"/>
  <c r="V77" i="74"/>
  <c r="V75" i="74"/>
  <c r="V73" i="74"/>
  <c r="W103" i="41"/>
  <c r="V103" i="41"/>
  <c r="W187" i="105"/>
  <c r="W186" i="105"/>
  <c r="W185" i="105"/>
  <c r="W183" i="105"/>
  <c r="W182" i="105"/>
  <c r="W176" i="105"/>
  <c r="W175" i="105"/>
  <c r="W174" i="105"/>
  <c r="W172" i="105"/>
  <c r="V172" i="105"/>
  <c r="W171" i="105"/>
  <c r="W136" i="105"/>
  <c r="W130" i="105"/>
  <c r="V129" i="105"/>
  <c r="W109" i="105"/>
  <c r="W107" i="105"/>
  <c r="W104" i="105"/>
  <c r="W100" i="105"/>
  <c r="V95" i="105"/>
  <c r="V97" i="105"/>
  <c r="W96" i="105"/>
  <c r="W94" i="105"/>
  <c r="W110" i="105"/>
  <c r="W108" i="105"/>
  <c r="W105" i="105"/>
  <c r="V100" i="105"/>
  <c r="W99" i="105"/>
  <c r="V99" i="105"/>
  <c r="W98" i="105"/>
  <c r="V98" i="105"/>
  <c r="W129" i="105"/>
  <c r="V96" i="105"/>
  <c r="W95" i="105"/>
  <c r="W135" i="105"/>
  <c r="W184" i="105"/>
  <c r="U170" i="90"/>
  <c r="T170" i="90"/>
  <c r="U169" i="90"/>
  <c r="T169" i="90"/>
  <c r="U168" i="90"/>
  <c r="T168" i="90"/>
  <c r="U167" i="90"/>
  <c r="T167" i="90"/>
  <c r="U166" i="90"/>
  <c r="T166" i="90"/>
  <c r="T225" i="53"/>
  <c r="U78" i="83"/>
  <c r="T78" i="83"/>
  <c r="U226" i="53"/>
  <c r="U224" i="53"/>
  <c r="T293" i="73"/>
  <c r="U293" i="73"/>
  <c r="U93" i="74"/>
  <c r="T92" i="74"/>
  <c r="U91" i="74"/>
  <c r="U89" i="74"/>
  <c r="T88" i="74"/>
  <c r="U87" i="74"/>
  <c r="U85" i="74"/>
  <c r="T84" i="74"/>
  <c r="U79" i="74"/>
  <c r="U77" i="74"/>
  <c r="T76" i="74"/>
  <c r="U75" i="74"/>
  <c r="U73" i="74"/>
  <c r="T72" i="74"/>
  <c r="U103" i="41"/>
  <c r="T103" i="41"/>
  <c r="U187" i="105"/>
  <c r="U183" i="105"/>
  <c r="U176" i="105"/>
  <c r="U172" i="105"/>
  <c r="T158" i="105"/>
  <c r="U129" i="105"/>
  <c r="U107" i="105"/>
  <c r="U97" i="105"/>
  <c r="U99" i="105"/>
  <c r="U95" i="105"/>
  <c r="U109" i="105"/>
  <c r="U108" i="105"/>
  <c r="U130" i="105"/>
  <c r="U106" i="105"/>
  <c r="U136" i="105"/>
  <c r="U100" i="105"/>
  <c r="U98" i="105"/>
  <c r="U96" i="105"/>
  <c r="S170" i="90"/>
  <c r="R170" i="90"/>
  <c r="S169" i="90"/>
  <c r="R169" i="90"/>
  <c r="S168" i="90"/>
  <c r="R168" i="90"/>
  <c r="S167" i="90"/>
  <c r="R167" i="90"/>
  <c r="S166" i="90"/>
  <c r="R166" i="90"/>
  <c r="R226" i="53"/>
  <c r="S225" i="53"/>
  <c r="S293" i="73"/>
  <c r="R293" i="73"/>
  <c r="S103" i="41"/>
  <c r="R103" i="41"/>
  <c r="S176" i="105"/>
  <c r="S172" i="105"/>
  <c r="R158" i="105"/>
  <c r="S129" i="105"/>
  <c r="Q170" i="90"/>
  <c r="Q169" i="90"/>
  <c r="Q168" i="90"/>
  <c r="Q167" i="90"/>
  <c r="Q166" i="90"/>
  <c r="Q78" i="83"/>
  <c r="Q27" i="76"/>
  <c r="Q157" i="74"/>
  <c r="Q156" i="74"/>
  <c r="K170" i="90"/>
  <c r="J170" i="90"/>
  <c r="K169" i="90"/>
  <c r="J169" i="90"/>
  <c r="K168" i="90"/>
  <c r="J168" i="90"/>
  <c r="K167" i="90"/>
  <c r="J167" i="90"/>
  <c r="K166" i="90"/>
  <c r="J166" i="90"/>
  <c r="K78" i="83"/>
  <c r="J226" i="53"/>
  <c r="K225" i="53"/>
  <c r="K293" i="73"/>
  <c r="J293" i="73"/>
  <c r="J156" i="105"/>
  <c r="M170" i="90"/>
  <c r="L170" i="90"/>
  <c r="M169" i="90"/>
  <c r="L169" i="90"/>
  <c r="M168" i="90"/>
  <c r="L168" i="90"/>
  <c r="M167" i="90"/>
  <c r="L167" i="90"/>
  <c r="M166" i="90"/>
  <c r="L166" i="90"/>
  <c r="L78" i="83"/>
  <c r="L225" i="53"/>
  <c r="M224" i="53"/>
  <c r="L293" i="73"/>
  <c r="P170" i="90"/>
  <c r="O170" i="90"/>
  <c r="N170" i="90"/>
  <c r="P169" i="90"/>
  <c r="O169" i="90"/>
  <c r="N169" i="90"/>
  <c r="P168" i="90"/>
  <c r="O168" i="90"/>
  <c r="N168" i="90"/>
  <c r="P167" i="90"/>
  <c r="O167" i="90"/>
  <c r="N167" i="90"/>
  <c r="P166" i="90"/>
  <c r="O166" i="90"/>
  <c r="N166" i="90"/>
  <c r="N226" i="53"/>
  <c r="N78" i="83"/>
  <c r="O225" i="53"/>
  <c r="O224" i="53"/>
  <c r="N224" i="53"/>
  <c r="N293" i="73"/>
  <c r="P174" i="105"/>
  <c r="O135" i="105"/>
  <c r="S123" i="65" l="1"/>
  <c r="S124" i="65"/>
  <c r="M158" i="105"/>
  <c r="O175" i="105"/>
  <c r="O171" i="105"/>
  <c r="O176" i="105"/>
  <c r="O172" i="105"/>
  <c r="O174" i="105"/>
  <c r="O173" i="105"/>
  <c r="O170" i="105"/>
  <c r="P158" i="105"/>
  <c r="P226" i="53"/>
  <c r="P224" i="53"/>
  <c r="P225" i="53"/>
  <c r="M78" i="83"/>
  <c r="P176" i="105"/>
  <c r="P172" i="105"/>
  <c r="P173" i="105"/>
  <c r="O129" i="105"/>
  <c r="P175" i="105"/>
  <c r="O78" i="83"/>
  <c r="N158" i="105"/>
  <c r="P170" i="105"/>
  <c r="O293" i="73"/>
  <c r="O158" i="105"/>
  <c r="P171" i="105"/>
  <c r="P293" i="73"/>
  <c r="K158" i="105"/>
  <c r="L158" i="105"/>
  <c r="M225" i="53"/>
  <c r="J158" i="105"/>
  <c r="Q293" i="73"/>
  <c r="N225" i="53"/>
  <c r="P78" i="83"/>
  <c r="M226" i="53"/>
  <c r="M293" i="73"/>
  <c r="Q158" i="105"/>
  <c r="Q225" i="53"/>
  <c r="Q224" i="53"/>
  <c r="S158" i="105"/>
  <c r="J78" i="83"/>
  <c r="O226" i="53"/>
  <c r="L224" i="53"/>
  <c r="L226" i="53"/>
  <c r="J225" i="53"/>
  <c r="J224" i="53"/>
  <c r="S175" i="105"/>
  <c r="S173" i="105"/>
  <c r="S171" i="105"/>
  <c r="S135" i="105"/>
  <c r="S170" i="105"/>
  <c r="S174" i="105"/>
  <c r="K224" i="53"/>
  <c r="K226" i="53"/>
  <c r="W93" i="74"/>
  <c r="W91" i="74"/>
  <c r="W89" i="74"/>
  <c r="W87" i="74"/>
  <c r="W85" i="74"/>
  <c r="W79" i="74"/>
  <c r="W77" i="74"/>
  <c r="W75" i="74"/>
  <c r="W73" i="74"/>
  <c r="W90" i="74"/>
  <c r="W86" i="74"/>
  <c r="W78" i="74"/>
  <c r="W74" i="74"/>
  <c r="W76" i="74"/>
  <c r="W84" i="74"/>
  <c r="W88" i="74"/>
  <c r="W72" i="74"/>
  <c r="W92" i="74"/>
  <c r="W158" i="105"/>
  <c r="R225" i="53"/>
  <c r="R224" i="53"/>
  <c r="R78" i="83"/>
  <c r="U104" i="105"/>
  <c r="U110" i="105"/>
  <c r="S224" i="53"/>
  <c r="S226" i="53"/>
  <c r="T93" i="74"/>
  <c r="T91" i="74"/>
  <c r="T89" i="74"/>
  <c r="T87" i="74"/>
  <c r="T85" i="74"/>
  <c r="T79" i="74"/>
  <c r="T77" i="74"/>
  <c r="T75" i="74"/>
  <c r="T73" i="74"/>
  <c r="T74" i="74"/>
  <c r="T78" i="74"/>
  <c r="T86" i="74"/>
  <c r="T90" i="74"/>
  <c r="W226" i="53"/>
  <c r="W224" i="53"/>
  <c r="S78" i="83"/>
  <c r="U186" i="105"/>
  <c r="U184" i="105"/>
  <c r="U182" i="105"/>
  <c r="U175" i="105"/>
  <c r="U173" i="105"/>
  <c r="U171" i="105"/>
  <c r="U135" i="105"/>
  <c r="U94" i="105"/>
  <c r="U101" i="105" s="1"/>
  <c r="U105" i="105"/>
  <c r="U158" i="105"/>
  <c r="U170" i="105"/>
  <c r="U174" i="105"/>
  <c r="U181" i="105"/>
  <c r="U185" i="105"/>
  <c r="U92" i="74"/>
  <c r="W106" i="105"/>
  <c r="W111" i="105" s="1"/>
  <c r="W97" i="105"/>
  <c r="W101" i="105" s="1"/>
  <c r="V175" i="105"/>
  <c r="V173" i="105"/>
  <c r="V171" i="105"/>
  <c r="V174" i="105"/>
  <c r="V176" i="105"/>
  <c r="V135" i="105"/>
  <c r="V94" i="105"/>
  <c r="V101" i="105" s="1"/>
  <c r="V170" i="105"/>
  <c r="U72" i="74"/>
  <c r="U74" i="74"/>
  <c r="U76" i="74"/>
  <c r="U78" i="74"/>
  <c r="U84" i="74"/>
  <c r="U86" i="74"/>
  <c r="U88" i="74"/>
  <c r="U90" i="74"/>
  <c r="W170" i="105"/>
  <c r="W173" i="105"/>
  <c r="W181" i="105"/>
  <c r="W188" i="105" s="1"/>
  <c r="Y104" i="105"/>
  <c r="Y135" i="105"/>
  <c r="V158" i="105"/>
  <c r="V92" i="74"/>
  <c r="Y129" i="105"/>
  <c r="Y97" i="105"/>
  <c r="Y101" i="105" s="1"/>
  <c r="Y109" i="105"/>
  <c r="V72" i="74"/>
  <c r="V74" i="74"/>
  <c r="V76" i="74"/>
  <c r="V78" i="74"/>
  <c r="V84" i="74"/>
  <c r="V86" i="74"/>
  <c r="V88" i="74"/>
  <c r="V90" i="74"/>
  <c r="V224" i="53"/>
  <c r="X129" i="105"/>
  <c r="X97" i="105"/>
  <c r="X101" i="105" s="1"/>
  <c r="X135" i="105"/>
  <c r="X226" i="53"/>
  <c r="X224" i="53"/>
  <c r="X176" i="105"/>
  <c r="X174" i="105"/>
  <c r="X172" i="105"/>
  <c r="X170" i="105"/>
  <c r="X171" i="105"/>
  <c r="Y173" i="105"/>
  <c r="Y176" i="105"/>
  <c r="Y184" i="105"/>
  <c r="Y187" i="105"/>
  <c r="X92" i="74"/>
  <c r="X89" i="74"/>
  <c r="X73" i="74"/>
  <c r="X78" i="74"/>
  <c r="X85" i="74"/>
  <c r="X91" i="74"/>
  <c r="Y171" i="105"/>
  <c r="Y174" i="105"/>
  <c r="Y182" i="105"/>
  <c r="Y92" i="74"/>
  <c r="X76" i="74"/>
  <c r="X79" i="74"/>
  <c r="X88" i="74"/>
  <c r="X78" i="83"/>
  <c r="Y72" i="74"/>
  <c r="Y74" i="74"/>
  <c r="Y76" i="74"/>
  <c r="Y78" i="74"/>
  <c r="Y84" i="74"/>
  <c r="Y86" i="74"/>
  <c r="Y88" i="74"/>
  <c r="Y90" i="74"/>
  <c r="Y224" i="53"/>
  <c r="Y226" i="53"/>
  <c r="V43" i="82" l="1"/>
  <c r="X47" i="65"/>
  <c r="X54" i="112"/>
  <c r="X60" i="112" s="1"/>
  <c r="W177" i="105"/>
  <c r="X177" i="105"/>
  <c r="Y188" i="105"/>
  <c r="S177" i="105"/>
  <c r="X225" i="53"/>
  <c r="T224" i="53"/>
  <c r="Y78" i="83"/>
  <c r="V225" i="53"/>
  <c r="U225" i="53"/>
  <c r="Y177" i="105"/>
  <c r="Y111" i="105"/>
  <c r="U188" i="105"/>
  <c r="W78" i="83"/>
  <c r="T226" i="53"/>
  <c r="Q226" i="53"/>
  <c r="V177" i="105"/>
  <c r="U177" i="105"/>
  <c r="W225" i="53"/>
  <c r="U111" i="105"/>
  <c r="P177" i="105"/>
  <c r="O177" i="105"/>
  <c r="Y47" i="65" l="1"/>
  <c r="Y54" i="112"/>
  <c r="Y60" i="112" s="1"/>
  <c r="C13" i="106"/>
  <c r="G208" i="85" s="1"/>
  <c r="U129" i="81"/>
  <c r="T129" i="81"/>
  <c r="B12" i="27"/>
  <c r="H15" i="55"/>
  <c r="D14" i="27" s="1"/>
  <c r="H13" i="55"/>
  <c r="D12" i="27" s="1"/>
  <c r="A2" i="111"/>
  <c r="A1" i="111"/>
  <c r="C14" i="111" s="1"/>
  <c r="G132" i="85" s="1"/>
  <c r="A2" i="106"/>
  <c r="A2" i="105"/>
  <c r="H11" i="55"/>
  <c r="D10" i="27" s="1"/>
  <c r="H9" i="55"/>
  <c r="D8" i="27" s="1"/>
  <c r="H7" i="55"/>
  <c r="D6" i="27" s="1"/>
  <c r="A1" i="106"/>
  <c r="A1" i="105"/>
  <c r="C42" i="105" s="1"/>
  <c r="G198" i="85" s="1"/>
  <c r="H81" i="65"/>
  <c r="H80" i="65"/>
  <c r="H79" i="65"/>
  <c r="H78" i="65"/>
  <c r="H77" i="65"/>
  <c r="H76" i="65"/>
  <c r="H75" i="65"/>
  <c r="H93" i="89"/>
  <c r="H49" i="86"/>
  <c r="H22" i="72" a="1"/>
  <c r="H23" i="72" s="1"/>
  <c r="L54" i="86"/>
  <c r="M54" i="86"/>
  <c r="P54" i="86"/>
  <c r="H79" i="89"/>
  <c r="H44" i="89"/>
  <c r="H45" i="89" s="1"/>
  <c r="H86" i="89"/>
  <c r="H56" i="89"/>
  <c r="H69" i="89"/>
  <c r="S70" i="31"/>
  <c r="S72" i="31"/>
  <c r="K66" i="31"/>
  <c r="R80" i="31"/>
  <c r="K70" i="31"/>
  <c r="S66" i="31"/>
  <c r="Q70" i="31"/>
  <c r="S73" i="31"/>
  <c r="Q76" i="31"/>
  <c r="Q80" i="31"/>
  <c r="A2" i="90"/>
  <c r="A1" i="90"/>
  <c r="C155" i="90" s="1"/>
  <c r="G85" i="85" s="1"/>
  <c r="H26" i="72"/>
  <c r="H113" i="53"/>
  <c r="H116" i="53" s="1"/>
  <c r="H169" i="53"/>
  <c r="H172" i="53" s="1"/>
  <c r="H129" i="53"/>
  <c r="P44" i="23"/>
  <c r="N44" i="23"/>
  <c r="Q44" i="23"/>
  <c r="Q27" i="31"/>
  <c r="Q29" i="31" s="1"/>
  <c r="H51" i="80" s="1"/>
  <c r="L45" i="23"/>
  <c r="L46" i="23"/>
  <c r="H168" i="53"/>
  <c r="H120" i="53"/>
  <c r="H112" i="53"/>
  <c r="H152" i="53"/>
  <c r="H144" i="53"/>
  <c r="H160" i="53"/>
  <c r="H128" i="53"/>
  <c r="H106" i="53"/>
  <c r="H47" i="86" a="1"/>
  <c r="H47" i="86" s="1"/>
  <c r="K27" i="31"/>
  <c r="J28" i="31" s="1"/>
  <c r="L54" i="81"/>
  <c r="S44" i="23"/>
  <c r="M44" i="23"/>
  <c r="O44" i="23"/>
  <c r="R44" i="23"/>
  <c r="L44" i="23"/>
  <c r="H104" i="53"/>
  <c r="H136" i="53"/>
  <c r="H105" i="53"/>
  <c r="H108" i="53" s="1"/>
  <c r="H153" i="53"/>
  <c r="H156" i="53" s="1"/>
  <c r="H121" i="53"/>
  <c r="H145" i="53"/>
  <c r="H148" i="53" s="1"/>
  <c r="H137" i="53"/>
  <c r="H161" i="53"/>
  <c r="H88" i="81"/>
  <c r="H87" i="81"/>
  <c r="H86" i="81"/>
  <c r="H84" i="81"/>
  <c r="J98" i="81"/>
  <c r="H163" i="90" a="1"/>
  <c r="H163" i="90" s="1"/>
  <c r="H24" i="81"/>
  <c r="H25" i="81" s="1"/>
  <c r="H121" i="81" s="1"/>
  <c r="H19" i="76" s="1"/>
  <c r="H25" i="22"/>
  <c r="H24" i="22"/>
  <c r="H23" i="22"/>
  <c r="H22" i="22"/>
  <c r="A2" i="89"/>
  <c r="A1" i="89"/>
  <c r="C89" i="89" s="1"/>
  <c r="G98" i="85" s="1"/>
  <c r="A2" i="87"/>
  <c r="A1" i="87"/>
  <c r="C72" i="87" s="1"/>
  <c r="G90" i="85" s="1"/>
  <c r="L43" i="23"/>
  <c r="H39" i="81"/>
  <c r="Q19" i="31"/>
  <c r="N19" i="31"/>
  <c r="A2" i="86"/>
  <c r="A1" i="86"/>
  <c r="C23" i="86" s="1"/>
  <c r="G92" i="85" s="1"/>
  <c r="O53" i="86"/>
  <c r="S53" i="86"/>
  <c r="R53" i="86"/>
  <c r="Q53" i="86"/>
  <c r="N53" i="86"/>
  <c r="H103" i="53"/>
  <c r="K53" i="86"/>
  <c r="H167" i="53"/>
  <c r="H119" i="53"/>
  <c r="H135" i="53"/>
  <c r="H143" i="53"/>
  <c r="H159" i="53"/>
  <c r="H151" i="53"/>
  <c r="H127" i="53"/>
  <c r="H111" i="53"/>
  <c r="K19" i="31"/>
  <c r="H39" i="70"/>
  <c r="H37" i="31"/>
  <c r="P38" i="31" s="1"/>
  <c r="P77" i="31" s="1"/>
  <c r="P46" i="81"/>
  <c r="N47" i="81" s="1"/>
  <c r="A2" i="85"/>
  <c r="A1" i="85"/>
  <c r="A2" i="84"/>
  <c r="A1" i="84"/>
  <c r="J20" i="31"/>
  <c r="J21" i="31" s="1"/>
  <c r="J23" i="31" s="1"/>
  <c r="A1" i="55"/>
  <c r="A2" i="83"/>
  <c r="A1" i="83"/>
  <c r="C204" i="83" s="1"/>
  <c r="G149" i="85" s="1"/>
  <c r="A2" i="82"/>
  <c r="A1" i="82"/>
  <c r="C57" i="82" s="1"/>
  <c r="G212" i="85" s="1"/>
  <c r="A2" i="81"/>
  <c r="A1" i="81"/>
  <c r="C104" i="81" s="1"/>
  <c r="G142" i="85" s="1"/>
  <c r="A2" i="80"/>
  <c r="A1" i="80"/>
  <c r="C266" i="80" s="1"/>
  <c r="G131" i="85" s="1"/>
  <c r="A2" i="65"/>
  <c r="A1" i="65"/>
  <c r="C127" i="65" s="1"/>
  <c r="G196" i="85" s="1"/>
  <c r="A2" i="76"/>
  <c r="A1" i="76"/>
  <c r="C33" i="76" s="1"/>
  <c r="G151" i="85" s="1"/>
  <c r="A2" i="74"/>
  <c r="A1" i="74"/>
  <c r="C97" i="74" s="1"/>
  <c r="G178" i="85" s="1"/>
  <c r="A2" i="73"/>
  <c r="A1" i="73"/>
  <c r="C219" i="73" s="1"/>
  <c r="G170" i="85" s="1"/>
  <c r="A2" i="72"/>
  <c r="A1" i="72"/>
  <c r="C220" i="72" s="1"/>
  <c r="G165" i="85" s="1"/>
  <c r="A2" i="71"/>
  <c r="A1" i="71"/>
  <c r="C214" i="71" s="1"/>
  <c r="G160" i="85" s="1"/>
  <c r="A2" i="70"/>
  <c r="A1" i="70"/>
  <c r="C19" i="70" s="1"/>
  <c r="G101" i="85" s="1"/>
  <c r="B14" i="27"/>
  <c r="B10" i="27"/>
  <c r="B6" i="27"/>
  <c r="B8" i="27"/>
  <c r="A2" i="41"/>
  <c r="A2" i="53"/>
  <c r="A2" i="22"/>
  <c r="A2" i="23"/>
  <c r="A2" i="31"/>
  <c r="A2" i="28"/>
  <c r="A2" i="55"/>
  <c r="A1" i="28"/>
  <c r="A1" i="53"/>
  <c r="C269" i="53" s="1"/>
  <c r="G122" i="85" s="1"/>
  <c r="A1" i="41"/>
  <c r="C45" i="41" s="1"/>
  <c r="G182" i="85" s="1"/>
  <c r="A1" i="31"/>
  <c r="C121" i="31" s="1"/>
  <c r="G106" i="85" s="1"/>
  <c r="A1" i="23"/>
  <c r="C16" i="23" s="1"/>
  <c r="G107" i="85" s="1"/>
  <c r="A1" i="22"/>
  <c r="C55" i="22" s="1"/>
  <c r="G110" i="85" s="1"/>
  <c r="K29" i="31"/>
  <c r="H45" i="80" s="1"/>
  <c r="J29" i="31"/>
  <c r="L27" i="31"/>
  <c r="L29" i="31" s="1"/>
  <c r="K53" i="82" s="1"/>
  <c r="M27" i="31"/>
  <c r="M29" i="31" s="1"/>
  <c r="N27" i="31"/>
  <c r="N29" i="31" s="1"/>
  <c r="M53" i="82"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H82" i="87" a="1"/>
  <c r="H82" i="87" s="1"/>
  <c r="H84" i="87" s="1"/>
  <c r="U135" i="65"/>
  <c r="Y134" i="65"/>
  <c r="U134" i="65"/>
  <c r="K76" i="81"/>
  <c r="K108" i="81" s="1"/>
  <c r="P65" i="31" l="1"/>
  <c r="O45" i="70"/>
  <c r="N45" i="70"/>
  <c r="M45" i="70"/>
  <c r="L45" i="70"/>
  <c r="K45" i="70"/>
  <c r="J45" i="70"/>
  <c r="Q45" i="70"/>
  <c r="P45" i="70"/>
  <c r="C87" i="65"/>
  <c r="G194" i="85" s="1"/>
  <c r="C98" i="65"/>
  <c r="G195" i="85" s="1"/>
  <c r="C40" i="65"/>
  <c r="G191" i="85" s="1"/>
  <c r="X134" i="65"/>
  <c r="X49" i="105" s="1"/>
  <c r="X88" i="105" s="1"/>
  <c r="X123" i="65"/>
  <c r="X152" i="65" s="1"/>
  <c r="V134" i="65"/>
  <c r="V123" i="65"/>
  <c r="V152" i="65" s="1"/>
  <c r="V67" i="105" s="1"/>
  <c r="V185" i="105" s="1"/>
  <c r="T134" i="65"/>
  <c r="T49" i="105" s="1"/>
  <c r="T88" i="105" s="1"/>
  <c r="T114" i="65"/>
  <c r="T143" i="65" s="1"/>
  <c r="T123" i="65"/>
  <c r="T152" i="65" s="1"/>
  <c r="S152" i="65"/>
  <c r="S67" i="105" s="1"/>
  <c r="S185" i="105" s="1"/>
  <c r="S134" i="65"/>
  <c r="S49" i="105" s="1"/>
  <c r="V135" i="65"/>
  <c r="V50" i="105" s="1"/>
  <c r="V89" i="105" s="1"/>
  <c r="V124" i="65"/>
  <c r="V153" i="65" s="1"/>
  <c r="V68" i="105" s="1"/>
  <c r="V186" i="105" s="1"/>
  <c r="T135" i="65"/>
  <c r="T50" i="105" s="1"/>
  <c r="T124" i="65"/>
  <c r="T153" i="65" s="1"/>
  <c r="T115" i="65"/>
  <c r="T144" i="65" s="1"/>
  <c r="S153" i="65"/>
  <c r="S68" i="105" s="1"/>
  <c r="S186" i="105" s="1"/>
  <c r="S135" i="65"/>
  <c r="S50" i="105" s="1"/>
  <c r="S89" i="105" s="1"/>
  <c r="Y135" i="65"/>
  <c r="Y50" i="105" s="1"/>
  <c r="A3" i="112"/>
  <c r="O43" i="82"/>
  <c r="O47" i="65"/>
  <c r="O54" i="112"/>
  <c r="O60" i="112" s="1"/>
  <c r="L47" i="65"/>
  <c r="R54" i="112"/>
  <c r="R60" i="112" s="1"/>
  <c r="P54" i="112"/>
  <c r="P60" i="112" s="1"/>
  <c r="S47" i="65"/>
  <c r="K47" i="65"/>
  <c r="W47" i="65"/>
  <c r="U47" i="65"/>
  <c r="O47" i="81"/>
  <c r="C52" i="65"/>
  <c r="G192" i="85" s="1"/>
  <c r="C72" i="65"/>
  <c r="G193" i="85" s="1"/>
  <c r="Y49" i="105"/>
  <c r="V49" i="105"/>
  <c r="C151" i="90"/>
  <c r="G84" i="85" s="1"/>
  <c r="M47" i="81"/>
  <c r="P47" i="81"/>
  <c r="O38" i="31"/>
  <c r="O78" i="31" s="1"/>
  <c r="S127" i="31"/>
  <c r="C49" i="87"/>
  <c r="G88" i="85" s="1"/>
  <c r="C58" i="87"/>
  <c r="G89" i="85" s="1"/>
  <c r="C65" i="53"/>
  <c r="G116" i="85" s="1"/>
  <c r="C265" i="53"/>
  <c r="G121" i="85" s="1"/>
  <c r="C13" i="87"/>
  <c r="G86" i="85" s="1"/>
  <c r="C36" i="53"/>
  <c r="G113" i="85" s="1"/>
  <c r="H107" i="53"/>
  <c r="Q178" i="53" s="1"/>
  <c r="Q240" i="53" s="1"/>
  <c r="H123" i="53"/>
  <c r="Q188" i="53" s="1"/>
  <c r="Q242" i="53" s="1"/>
  <c r="H90" i="81"/>
  <c r="H122" i="81" s="1"/>
  <c r="H20" i="76" s="1"/>
  <c r="H27" i="72"/>
  <c r="H29" i="72"/>
  <c r="P76" i="31"/>
  <c r="M38" i="31"/>
  <c r="M119" i="31" s="1"/>
  <c r="H131" i="53"/>
  <c r="Q193" i="53" s="1"/>
  <c r="Q243" i="53" s="1"/>
  <c r="P72" i="31"/>
  <c r="H25" i="72"/>
  <c r="U50" i="105"/>
  <c r="N31" i="81"/>
  <c r="P28" i="31"/>
  <c r="P29" i="31" s="1"/>
  <c r="H43" i="83" s="1" a="1"/>
  <c r="N38" i="31"/>
  <c r="N118" i="31" s="1"/>
  <c r="H30" i="72"/>
  <c r="H22" i="72"/>
  <c r="H46" i="80"/>
  <c r="L31" i="81"/>
  <c r="H139" i="53"/>
  <c r="Q198" i="53" s="1"/>
  <c r="Q244" i="53" s="1"/>
  <c r="R31" i="81"/>
  <c r="H52" i="80"/>
  <c r="S131" i="31"/>
  <c r="O31" i="81"/>
  <c r="H49" i="80"/>
  <c r="N53"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U49" i="105"/>
  <c r="H28" i="72"/>
  <c r="H24" i="72"/>
  <c r="N57" i="23"/>
  <c r="L113" i="31"/>
  <c r="J117" i="31"/>
  <c r="S113" i="31"/>
  <c r="L110" i="31"/>
  <c r="P118" i="31"/>
  <c r="M114"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Q204" i="53"/>
  <c r="Q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Q209" i="53"/>
  <c r="Q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Q179" i="53"/>
  <c r="Q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H50" i="80"/>
  <c r="O53" i="82"/>
  <c r="H35" i="72" a="1"/>
  <c r="M31" i="81"/>
  <c r="H124" i="53"/>
  <c r="Q189" i="53" s="1"/>
  <c r="Q253" i="53" s="1"/>
  <c r="P79" i="31"/>
  <c r="N76" i="31"/>
  <c r="Q67" i="31"/>
  <c r="N80"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M65" i="31"/>
  <c r="K65" i="31"/>
  <c r="N75" i="31"/>
  <c r="J80" i="31"/>
  <c r="R70" i="31"/>
  <c r="R131" i="31" s="1"/>
  <c r="H166" i="90"/>
  <c r="H168" i="90"/>
  <c r="H53" i="86"/>
  <c r="H169" i="90"/>
  <c r="H170" i="90"/>
  <c r="A3" i="80"/>
  <c r="S134" i="31"/>
  <c r="H53" i="80"/>
  <c r="S31" i="81"/>
  <c r="S133" i="31"/>
  <c r="H48" i="80"/>
  <c r="H47" i="80"/>
  <c r="L53" i="82"/>
  <c r="H112" i="89"/>
  <c r="H111" i="89"/>
  <c r="M73" i="31"/>
  <c r="M107" i="31"/>
  <c r="M77" i="31"/>
  <c r="M75" i="31"/>
  <c r="Q31" i="81"/>
  <c r="H72" i="89"/>
  <c r="H80" i="89" s="1"/>
  <c r="J53"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M80"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N110" i="31"/>
  <c r="Q117" i="31"/>
  <c r="P106" i="31"/>
  <c r="P112" i="31"/>
  <c r="R117" i="31"/>
  <c r="K107" i="31"/>
  <c r="R66" i="31"/>
  <c r="R127" i="31" s="1"/>
  <c r="K80" i="31"/>
  <c r="S68" i="31"/>
  <c r="S129" i="31" s="1"/>
  <c r="M67" i="31"/>
  <c r="L73" i="31"/>
  <c r="P71" i="31"/>
  <c r="K72" i="31"/>
  <c r="M69" i="31"/>
  <c r="L77" i="31"/>
  <c r="L69" i="31"/>
  <c r="Q79" i="31"/>
  <c r="J77" i="31"/>
  <c r="Q71" i="31"/>
  <c r="J69" i="31"/>
  <c r="M66" i="31"/>
  <c r="M68" i="31"/>
  <c r="M70" i="31"/>
  <c r="M72" i="31"/>
  <c r="M74" i="31"/>
  <c r="M76" i="31"/>
  <c r="M78" i="31"/>
  <c r="J78" i="31"/>
  <c r="S76" i="31"/>
  <c r="P80" i="31"/>
  <c r="R67" i="31"/>
  <c r="K74" i="31"/>
  <c r="R68" i="31"/>
  <c r="P66" i="31"/>
  <c r="M79" i="31"/>
  <c r="J74" i="31"/>
  <c r="M71" i="31"/>
  <c r="J66" i="31"/>
  <c r="S78" i="31"/>
  <c r="S139" i="31" s="1"/>
  <c r="P74" i="31"/>
  <c r="R73" i="31"/>
  <c r="R134" i="31" s="1"/>
  <c r="K118" i="31"/>
  <c r="K116" i="31"/>
  <c r="K114" i="31"/>
  <c r="K112" i="31"/>
  <c r="K110" i="31"/>
  <c r="K108" i="31"/>
  <c r="K106" i="31"/>
  <c r="K104" i="31"/>
  <c r="M116" i="31"/>
  <c r="M108" i="31"/>
  <c r="N117" i="31"/>
  <c r="N105" i="31"/>
  <c r="K105" i="31"/>
  <c r="Q104" i="31"/>
  <c r="K115" i="31"/>
  <c r="K111" i="31"/>
  <c r="L114" i="31"/>
  <c r="L106" i="31"/>
  <c r="S118" i="31"/>
  <c r="Q113" i="31"/>
  <c r="S110" i="31"/>
  <c r="Q105" i="31"/>
  <c r="K113" i="31"/>
  <c r="M112" i="31"/>
  <c r="J119" i="31"/>
  <c r="P116" i="31"/>
  <c r="R113" i="31"/>
  <c r="J111" i="31"/>
  <c r="P108" i="31"/>
  <c r="R105" i="31"/>
  <c r="M113" i="31"/>
  <c r="M105" i="31"/>
  <c r="R118" i="31"/>
  <c r="R116" i="31"/>
  <c r="R114" i="31"/>
  <c r="R112" i="31"/>
  <c r="R110" i="31"/>
  <c r="R108" i="31"/>
  <c r="R106" i="31"/>
  <c r="R104" i="31"/>
  <c r="Q110" i="31"/>
  <c r="S111" i="31"/>
  <c r="K119" i="31"/>
  <c r="S107" i="31"/>
  <c r="L116" i="31"/>
  <c r="L108" i="31"/>
  <c r="Q115" i="31"/>
  <c r="S112" i="31"/>
  <c r="Q107" i="31"/>
  <c r="S104" i="31"/>
  <c r="J104" i="31"/>
  <c r="Q106" i="31"/>
  <c r="M104" i="31"/>
  <c r="R111" i="31"/>
  <c r="J107" i="31"/>
  <c r="M115" i="31"/>
  <c r="Q111" i="31"/>
  <c r="S106" i="31"/>
  <c r="L117" i="31"/>
  <c r="N114" i="31"/>
  <c r="L109" i="31"/>
  <c r="N106" i="31"/>
  <c r="Q118" i="31"/>
  <c r="M110" i="31"/>
  <c r="R119" i="31"/>
  <c r="J115" i="31"/>
  <c r="P110" i="31"/>
  <c r="Q119" i="31"/>
  <c r="S114" i="31"/>
  <c r="M111"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M106" i="31"/>
  <c r="Q116" i="31"/>
  <c r="K79" i="31"/>
  <c r="Q74" i="31"/>
  <c r="S69" i="31"/>
  <c r="S130" i="31" s="1"/>
  <c r="J68" i="31"/>
  <c r="L71" i="31"/>
  <c r="S74" i="31"/>
  <c r="S135" i="31" s="1"/>
  <c r="P78" i="31"/>
  <c r="P68" i="31"/>
  <c r="R78" i="31"/>
  <c r="R74" i="31"/>
  <c r="L105" i="31"/>
  <c r="N112" i="31"/>
  <c r="L119" i="31"/>
  <c r="M109" i="31"/>
  <c r="L104" i="31"/>
  <c r="Q73" i="31"/>
  <c r="M118" i="31"/>
  <c r="J71" i="31"/>
  <c r="K117" i="31"/>
  <c r="S109" i="31"/>
  <c r="H167" i="90"/>
  <c r="A3" i="72"/>
  <c r="A3" i="86"/>
  <c r="A3" i="90"/>
  <c r="A3" i="83"/>
  <c r="A3" i="41"/>
  <c r="A3" i="89"/>
  <c r="C190" i="105"/>
  <c r="G207" i="85" s="1"/>
  <c r="A3" i="106"/>
  <c r="A3" i="31"/>
  <c r="A3" i="55"/>
  <c r="A3" i="70"/>
  <c r="A3" i="23"/>
  <c r="A3" i="81"/>
  <c r="A3" i="28"/>
  <c r="A3" i="74"/>
  <c r="A3" i="84"/>
  <c r="A3" i="105"/>
  <c r="A3" i="87"/>
  <c r="A3" i="82"/>
  <c r="A3" i="22"/>
  <c r="A3" i="111"/>
  <c r="A3" i="76"/>
  <c r="A3" i="71"/>
  <c r="A3" i="73"/>
  <c r="A3" i="85"/>
  <c r="A3" i="65"/>
  <c r="C95" i="89"/>
  <c r="G99" i="85" s="1"/>
  <c r="C92" i="41"/>
  <c r="G184" i="85" s="1"/>
  <c r="C31" i="86"/>
  <c r="G93" i="85" s="1"/>
  <c r="C38" i="23"/>
  <c r="G108" i="85" s="1"/>
  <c r="C37" i="76"/>
  <c r="G152" i="85" s="1"/>
  <c r="C126" i="105"/>
  <c r="G202" i="85" s="1"/>
  <c r="C15" i="41"/>
  <c r="G181" i="85" s="1"/>
  <c r="C17" i="76"/>
  <c r="G150" i="85" s="1"/>
  <c r="C13" i="89"/>
  <c r="G95" i="85" s="1"/>
  <c r="C35" i="89"/>
  <c r="G97" i="85" s="1"/>
  <c r="C99" i="89"/>
  <c r="G100" i="85" s="1"/>
  <c r="C81" i="105"/>
  <c r="G200" i="85" s="1"/>
  <c r="C13" i="86"/>
  <c r="G91" i="85" s="1"/>
  <c r="C25" i="89"/>
  <c r="G96" i="85" s="1"/>
  <c r="C35" i="86"/>
  <c r="G94" i="85" s="1"/>
  <c r="C68" i="41"/>
  <c r="G183" i="85" s="1"/>
  <c r="C16" i="65"/>
  <c r="G189" i="85" s="1"/>
  <c r="C131" i="41"/>
  <c r="G185" i="85" s="1"/>
  <c r="C28" i="65"/>
  <c r="G190" i="85" s="1"/>
  <c r="C18" i="87"/>
  <c r="G87" i="85" s="1"/>
  <c r="C132" i="105"/>
  <c r="G203" i="85" s="1"/>
  <c r="C140" i="105"/>
  <c r="G204" i="85" s="1"/>
  <c r="C13" i="90"/>
  <c r="G77" i="85" s="1"/>
  <c r="C20" i="90"/>
  <c r="G78" i="85" s="1"/>
  <c r="C99" i="90"/>
  <c r="G82" i="85" s="1"/>
  <c r="C15" i="22"/>
  <c r="G109" i="85" s="1"/>
  <c r="C25" i="31"/>
  <c r="G103" i="85" s="1"/>
  <c r="C35" i="31"/>
  <c r="G104" i="85" s="1"/>
  <c r="C18" i="53"/>
  <c r="G111" i="85" s="1"/>
  <c r="C52" i="53"/>
  <c r="G114" i="85" s="1"/>
  <c r="C100" i="53"/>
  <c r="G118" i="85" s="1"/>
  <c r="C221" i="53"/>
  <c r="G120" i="85" s="1"/>
  <c r="C19" i="73"/>
  <c r="G166" i="85" s="1"/>
  <c r="C19" i="71"/>
  <c r="G153" i="85" s="1"/>
  <c r="C49" i="71"/>
  <c r="G154" i="85" s="1"/>
  <c r="C109" i="71"/>
  <c r="G156" i="85" s="1"/>
  <c r="C154" i="71"/>
  <c r="G158" i="85" s="1"/>
  <c r="C120" i="72"/>
  <c r="G162" i="85" s="1"/>
  <c r="C190" i="72"/>
  <c r="G164" i="85" s="1"/>
  <c r="C189" i="73"/>
  <c r="G169" i="85" s="1"/>
  <c r="C254" i="73"/>
  <c r="G171" i="85" s="1"/>
  <c r="C52" i="74"/>
  <c r="G175" i="85" s="1"/>
  <c r="C67" i="74"/>
  <c r="G177" i="85" s="1"/>
  <c r="C127" i="74"/>
  <c r="G179" i="85" s="1"/>
  <c r="C259" i="73"/>
  <c r="G172" i="85" s="1"/>
  <c r="C159" i="74"/>
  <c r="G180" i="85" s="1"/>
  <c r="C67" i="80"/>
  <c r="G124" i="85" s="1"/>
  <c r="C138" i="80"/>
  <c r="G125" i="85" s="1"/>
  <c r="C184" i="80"/>
  <c r="G127" i="85" s="1"/>
  <c r="C236" i="80"/>
  <c r="G129" i="85" s="1"/>
  <c r="C35" i="81"/>
  <c r="G135" i="85" s="1"/>
  <c r="C50" i="81"/>
  <c r="G137" i="85" s="1"/>
  <c r="C69" i="81"/>
  <c r="G139" i="85" s="1"/>
  <c r="C92" i="81"/>
  <c r="G141" i="85" s="1"/>
  <c r="C110" i="81"/>
  <c r="G143" i="85" s="1"/>
  <c r="C117" i="81"/>
  <c r="G144" i="85" s="1"/>
  <c r="C14" i="82"/>
  <c r="G209" i="85" s="1"/>
  <c r="C67" i="82"/>
  <c r="G213" i="85" s="1"/>
  <c r="C27" i="82"/>
  <c r="G210" i="85" s="1"/>
  <c r="C13" i="83"/>
  <c r="G145" i="85" s="1"/>
  <c r="C118" i="83"/>
  <c r="G146" i="85" s="1"/>
  <c r="C175" i="83"/>
  <c r="G148" i="85" s="1"/>
  <c r="C33" i="90"/>
  <c r="G79" i="85" s="1"/>
  <c r="C84" i="90"/>
  <c r="G81" i="85" s="1"/>
  <c r="C141" i="90"/>
  <c r="G83" i="85" s="1"/>
  <c r="C13" i="105"/>
  <c r="G197" i="85" s="1"/>
  <c r="C71" i="105"/>
  <c r="G199" i="85" s="1"/>
  <c r="C113" i="105"/>
  <c r="G201" i="85" s="1"/>
  <c r="C166" i="105"/>
  <c r="G206" i="85" s="1"/>
  <c r="C151" i="105"/>
  <c r="G205" i="85" s="1"/>
  <c r="C43" i="90"/>
  <c r="G80" i="85" s="1"/>
  <c r="C17" i="31"/>
  <c r="G102" i="85" s="1"/>
  <c r="C40" i="31"/>
  <c r="G105" i="85" s="1"/>
  <c r="C28" i="53"/>
  <c r="G112" i="85" s="1"/>
  <c r="C60" i="53"/>
  <c r="G115" i="85" s="1"/>
  <c r="C87" i="53"/>
  <c r="G117" i="85" s="1"/>
  <c r="C174" i="53"/>
  <c r="G119" i="85" s="1"/>
  <c r="C16" i="74"/>
  <c r="G173" i="85" s="1"/>
  <c r="C17" i="72"/>
  <c r="G161" i="85" s="1"/>
  <c r="C79" i="71"/>
  <c r="G155" i="85" s="1"/>
  <c r="C124" i="71"/>
  <c r="G157" i="85" s="1"/>
  <c r="C184" i="71"/>
  <c r="G159" i="85" s="1"/>
  <c r="C155" i="72"/>
  <c r="G163" i="85" s="1"/>
  <c r="C129" i="73"/>
  <c r="G167" i="85" s="1"/>
  <c r="C159" i="73"/>
  <c r="G168" i="85" s="1"/>
  <c r="C22" i="74"/>
  <c r="G174" i="85" s="1"/>
  <c r="C58" i="74"/>
  <c r="G176" i="85" s="1"/>
  <c r="C18" i="80"/>
  <c r="G123" i="85" s="1"/>
  <c r="C164" i="80"/>
  <c r="G126" i="85" s="1"/>
  <c r="C194" i="80"/>
  <c r="G128" i="85" s="1"/>
  <c r="C249" i="80"/>
  <c r="G130" i="85" s="1"/>
  <c r="C19" i="81"/>
  <c r="G133" i="85" s="1"/>
  <c r="C27" i="81"/>
  <c r="G134" i="85" s="1"/>
  <c r="C42" i="81"/>
  <c r="G136" i="85" s="1"/>
  <c r="C62" i="81"/>
  <c r="G138" i="85" s="1"/>
  <c r="C80" i="81"/>
  <c r="G140" i="85" s="1"/>
  <c r="C45" i="82"/>
  <c r="G211" i="85" s="1"/>
  <c r="C146" i="83"/>
  <c r="G147" i="85" s="1"/>
  <c r="H87" i="89" l="1"/>
  <c r="H37" i="41" s="1"/>
  <c r="N108" i="31"/>
  <c r="N119" i="31"/>
  <c r="N66" i="31"/>
  <c r="N70" i="31"/>
  <c r="N78" i="31"/>
  <c r="N139" i="31" s="1"/>
  <c r="N67" i="31"/>
  <c r="J128" i="31" s="1"/>
  <c r="N107" i="31"/>
  <c r="N79" i="31"/>
  <c r="N77" i="31"/>
  <c r="N73" i="31"/>
  <c r="N109" i="31"/>
  <c r="N74" i="31"/>
  <c r="M135" i="31" s="1"/>
  <c r="N68" i="31"/>
  <c r="N72" i="31"/>
  <c r="N111" i="31"/>
  <c r="N113" i="31"/>
  <c r="N71" i="31"/>
  <c r="N115" i="31"/>
  <c r="N69" i="31"/>
  <c r="N65" i="31"/>
  <c r="N116" i="31"/>
  <c r="N104" i="31"/>
  <c r="O110" i="31"/>
  <c r="O68" i="31"/>
  <c r="O129" i="31" s="1"/>
  <c r="O112" i="31"/>
  <c r="O79" i="31"/>
  <c r="O67" i="31"/>
  <c r="O65" i="31"/>
  <c r="O126" i="31" s="1"/>
  <c r="O109" i="31"/>
  <c r="O116" i="31"/>
  <c r="O107" i="31"/>
  <c r="O106" i="31"/>
  <c r="O75" i="31"/>
  <c r="M136" i="31" s="1"/>
  <c r="O114" i="31"/>
  <c r="O118" i="31"/>
  <c r="O113" i="31"/>
  <c r="O115" i="31"/>
  <c r="O66" i="31"/>
  <c r="O72" i="31"/>
  <c r="O69" i="31"/>
  <c r="K130" i="31" s="1"/>
  <c r="O117" i="31"/>
  <c r="O70" i="31"/>
  <c r="O131" i="31" s="1"/>
  <c r="O105" i="31"/>
  <c r="O74" i="31"/>
  <c r="O73" i="31"/>
  <c r="O111" i="31"/>
  <c r="O76" i="31"/>
  <c r="N137" i="31" s="1"/>
  <c r="O71" i="31"/>
  <c r="K132" i="31" s="1"/>
  <c r="O104" i="31"/>
  <c r="O77" i="31"/>
  <c r="O108" i="31"/>
  <c r="O119" i="31"/>
  <c r="O80" i="31"/>
  <c r="J141" i="31" s="1"/>
  <c r="J54" i="112"/>
  <c r="J47" i="65"/>
  <c r="W134" i="65"/>
  <c r="W49" i="105" s="1"/>
  <c r="W88" i="105" s="1"/>
  <c r="X135" i="65"/>
  <c r="X50" i="105" s="1"/>
  <c r="X89" i="105" s="1"/>
  <c r="X124" i="65"/>
  <c r="X153" i="65" s="1"/>
  <c r="X68" i="105" s="1"/>
  <c r="X186" i="105" s="1"/>
  <c r="W135" i="65"/>
  <c r="W50" i="105" s="1"/>
  <c r="W89" i="105" s="1"/>
  <c r="U43" i="82"/>
  <c r="V47" i="65"/>
  <c r="M43" i="82"/>
  <c r="M47" i="65"/>
  <c r="P43" i="82"/>
  <c r="P47" i="65"/>
  <c r="R43" i="82"/>
  <c r="R47" i="65"/>
  <c r="N43" i="82"/>
  <c r="N47" i="65"/>
  <c r="Q54" i="112"/>
  <c r="Q60" i="112" s="1"/>
  <c r="Q47" i="65"/>
  <c r="T47" i="65"/>
  <c r="J43" i="82"/>
  <c r="M54" i="112"/>
  <c r="M60" i="112" s="1"/>
  <c r="L43" i="82"/>
  <c r="L54" i="112"/>
  <c r="L60" i="112" s="1"/>
  <c r="V54" i="112"/>
  <c r="V60" i="112" s="1"/>
  <c r="Q43" i="82"/>
  <c r="N54" i="112"/>
  <c r="N60" i="112" s="1"/>
  <c r="T54" i="112"/>
  <c r="T60" i="112" s="1"/>
  <c r="T43" i="82"/>
  <c r="S54" i="112"/>
  <c r="S60" i="112" s="1"/>
  <c r="S43" i="82"/>
  <c r="K43" i="82"/>
  <c r="K54" i="112"/>
  <c r="K60" i="112" s="1"/>
  <c r="W54" i="112"/>
  <c r="W60" i="112" s="1"/>
  <c r="U54" i="112"/>
  <c r="U60" i="112" s="1"/>
  <c r="T68" i="105"/>
  <c r="T186" i="105" s="1"/>
  <c r="T58" i="105"/>
  <c r="T174" i="105" s="1"/>
  <c r="T67" i="105"/>
  <c r="T185" i="105" s="1"/>
  <c r="H37" i="73" a="1"/>
  <c r="H37" i="73" s="1"/>
  <c r="T59" i="105"/>
  <c r="T175" i="105" s="1"/>
  <c r="H172" i="90"/>
  <c r="A4" i="90" s="1"/>
  <c r="X67" i="105"/>
  <c r="X185" i="105" s="1"/>
  <c r="P31" i="81"/>
  <c r="H56" i="86"/>
  <c r="A4" i="86" s="1"/>
  <c r="R126" i="31"/>
  <c r="P141" i="31"/>
  <c r="R138" i="31"/>
  <c r="K21" i="31"/>
  <c r="K23" i="31" s="1"/>
  <c r="K32" i="81" s="1"/>
  <c r="K33" i="81" s="1"/>
  <c r="S40" i="81" s="1"/>
  <c r="S48" i="81" s="1"/>
  <c r="L20" i="31"/>
  <c r="N84" i="22"/>
  <c r="N110" i="22"/>
  <c r="N121" i="22"/>
  <c r="N132" i="22"/>
  <c r="N99" i="22"/>
  <c r="N73" i="22"/>
  <c r="N62" i="22"/>
  <c r="Q73" i="22"/>
  <c r="Q99" i="22"/>
  <c r="Q110" i="22"/>
  <c r="Q121" i="22"/>
  <c r="Q132" i="22"/>
  <c r="Q62" i="22"/>
  <c r="Q84" i="22"/>
  <c r="P82" i="72"/>
  <c r="P113" i="71"/>
  <c r="P95" i="73"/>
  <c r="P24" i="80"/>
  <c r="L113" i="71"/>
  <c r="L24" i="80"/>
  <c r="L82" i="72"/>
  <c r="L95" i="73"/>
  <c r="J74" i="22"/>
  <c r="J100" i="22"/>
  <c r="J63" i="22"/>
  <c r="J133" i="22"/>
  <c r="J85" i="22"/>
  <c r="J122" i="22"/>
  <c r="J111" i="22"/>
  <c r="L57" i="23"/>
  <c r="O57" i="23"/>
  <c r="J73" i="22"/>
  <c r="J110" i="22"/>
  <c r="J62" i="22"/>
  <c r="J99" i="22"/>
  <c r="J132" i="22"/>
  <c r="J84" i="22"/>
  <c r="J121" i="22"/>
  <c r="O73" i="22"/>
  <c r="O99" i="22"/>
  <c r="O110" i="22"/>
  <c r="O132" i="22"/>
  <c r="O84" i="22"/>
  <c r="O62" i="22"/>
  <c r="O121" i="22"/>
  <c r="P99" i="22"/>
  <c r="P121" i="22"/>
  <c r="P110" i="22"/>
  <c r="P62" i="22"/>
  <c r="P84" i="22"/>
  <c r="P73" i="22"/>
  <c r="P132" i="22"/>
  <c r="Q24" i="80"/>
  <c r="Q113" i="71"/>
  <c r="Q82" i="72"/>
  <c r="Q95" i="73"/>
  <c r="O113" i="71"/>
  <c r="O24" i="80"/>
  <c r="O82" i="72"/>
  <c r="O95" i="73"/>
  <c r="P74" i="22"/>
  <c r="P111" i="22"/>
  <c r="P122" i="22"/>
  <c r="P133" i="22"/>
  <c r="P85" i="22"/>
  <c r="P63" i="22"/>
  <c r="P100" i="22"/>
  <c r="L85" i="22"/>
  <c r="L100" i="22"/>
  <c r="L111" i="22"/>
  <c r="L122" i="22"/>
  <c r="L133" i="22"/>
  <c r="L63" i="22"/>
  <c r="L74" i="22"/>
  <c r="Q85" i="22"/>
  <c r="Q74" i="22"/>
  <c r="Q111" i="22"/>
  <c r="Q133" i="22"/>
  <c r="Q63" i="22"/>
  <c r="Q100" i="22"/>
  <c r="Q122" i="22"/>
  <c r="Q57" i="23"/>
  <c r="L84" i="22"/>
  <c r="L62" i="22"/>
  <c r="L73" i="22"/>
  <c r="L110" i="22"/>
  <c r="L132" i="22"/>
  <c r="L99" i="22"/>
  <c r="L121" i="22"/>
  <c r="N24" i="80"/>
  <c r="N113" i="71"/>
  <c r="N82" i="72"/>
  <c r="N95" i="73"/>
  <c r="J95" i="73"/>
  <c r="J82" i="72"/>
  <c r="J24" i="80"/>
  <c r="J113" i="71"/>
  <c r="M85" i="22"/>
  <c r="M100" i="22"/>
  <c r="M111" i="22"/>
  <c r="M133" i="22"/>
  <c r="M122" i="22"/>
  <c r="M74" i="22"/>
  <c r="M63" i="22"/>
  <c r="O122" i="22"/>
  <c r="O85" i="22"/>
  <c r="O63" i="22"/>
  <c r="O74" i="22"/>
  <c r="O111" i="22"/>
  <c r="O133" i="22"/>
  <c r="O100" i="22"/>
  <c r="S57" i="23"/>
  <c r="P57" i="23"/>
  <c r="M73" i="22"/>
  <c r="M121" i="22"/>
  <c r="M110" i="22"/>
  <c r="M132" i="22"/>
  <c r="M84" i="22"/>
  <c r="M99" i="22"/>
  <c r="M62" i="22"/>
  <c r="K84" i="22"/>
  <c r="K62" i="22"/>
  <c r="K99" i="22"/>
  <c r="K121" i="22"/>
  <c r="K73" i="22"/>
  <c r="K110" i="22"/>
  <c r="K132" i="22"/>
  <c r="M82" i="72"/>
  <c r="M113" i="71"/>
  <c r="M95" i="73"/>
  <c r="M24" i="80"/>
  <c r="K24" i="80"/>
  <c r="K95" i="73"/>
  <c r="K113" i="71"/>
  <c r="K82" i="72"/>
  <c r="N100" i="22"/>
  <c r="N74" i="22"/>
  <c r="N122" i="22"/>
  <c r="N85" i="22"/>
  <c r="N111" i="22"/>
  <c r="N133" i="22"/>
  <c r="N63" i="22"/>
  <c r="K85" i="22"/>
  <c r="K100" i="22"/>
  <c r="K111" i="22"/>
  <c r="K122" i="22"/>
  <c r="K133" i="22"/>
  <c r="K63" i="22"/>
  <c r="K74" i="22"/>
  <c r="P131" i="31"/>
  <c r="R132" i="31"/>
  <c r="R140" i="31"/>
  <c r="K204" i="80"/>
  <c r="V88" i="105"/>
  <c r="T89" i="105"/>
  <c r="Y88" i="105"/>
  <c r="V109" i="105"/>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Y55" i="41"/>
  <c r="R199" i="53"/>
  <c r="S199" i="53"/>
  <c r="S189" i="53"/>
  <c r="R189" i="53"/>
  <c r="S183" i="53"/>
  <c r="R183" i="53"/>
  <c r="Y89" i="105"/>
  <c r="U88" i="105"/>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U89" i="105"/>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88" i="105"/>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J35" i="55"/>
  <c r="A4" i="87"/>
  <c r="H51" i="83"/>
  <c r="H52" i="83"/>
  <c r="H43" i="83"/>
  <c r="H49" i="83"/>
  <c r="H48" i="83"/>
  <c r="H46" i="83"/>
  <c r="H47" i="83"/>
  <c r="H45" i="83"/>
  <c r="H44" i="83"/>
  <c r="H50" i="83"/>
  <c r="P136" i="31"/>
  <c r="H293" i="73"/>
  <c r="M137" i="31"/>
  <c r="Q132" i="31"/>
  <c r="Q135" i="31"/>
  <c r="Q127" i="31"/>
  <c r="Q131" i="31"/>
  <c r="H42" i="72"/>
  <c r="H36" i="72"/>
  <c r="H37" i="72"/>
  <c r="H40" i="72"/>
  <c r="H38" i="72"/>
  <c r="H43" i="72"/>
  <c r="H39" i="72"/>
  <c r="H35" i="72"/>
  <c r="H41" i="72"/>
  <c r="H44" i="72"/>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O128" i="31"/>
  <c r="R137" i="31"/>
  <c r="P137" i="31"/>
  <c r="S137" i="31"/>
  <c r="Q134" i="31"/>
  <c r="P134" i="31"/>
  <c r="Q138" i="31"/>
  <c r="P138" i="31"/>
  <c r="L54" i="23"/>
  <c r="N54" i="23"/>
  <c r="S54" i="23"/>
  <c r="O54" i="23"/>
  <c r="R54" i="23"/>
  <c r="M54" i="23"/>
  <c r="Q54" i="23"/>
  <c r="P54" i="23"/>
  <c r="M126" i="31"/>
  <c r="P127" i="31"/>
  <c r="Q136" i="31"/>
  <c r="H58" i="70" a="1"/>
  <c r="H58" i="70" s="1"/>
  <c r="Q141" i="31"/>
  <c r="S141" i="31"/>
  <c r="R141" i="31"/>
  <c r="P130" i="31"/>
  <c r="L59" i="23"/>
  <c r="S59" i="23"/>
  <c r="Q59" i="23"/>
  <c r="P59" i="23"/>
  <c r="N59" i="23"/>
  <c r="O59" i="23"/>
  <c r="R59" i="23"/>
  <c r="M59" i="23"/>
  <c r="Q126" i="31"/>
  <c r="P126" i="31"/>
  <c r="Q129" i="31"/>
  <c r="R129" i="31"/>
  <c r="Q140" i="31"/>
  <c r="P140" i="31"/>
  <c r="N136" i="31"/>
  <c r="O136" i="31"/>
  <c r="L128" i="31"/>
  <c r="K136"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L136" i="31"/>
  <c r="Q133" i="31"/>
  <c r="P133" i="31"/>
  <c r="K134" i="31"/>
  <c r="J126" i="31"/>
  <c r="Q137" i="31"/>
  <c r="L62" i="23"/>
  <c r="J136" i="31"/>
  <c r="L66" i="23"/>
  <c r="Q66" i="23"/>
  <c r="P66" i="23"/>
  <c r="N66" i="23"/>
  <c r="R66" i="23"/>
  <c r="O66" i="23"/>
  <c r="S66" i="23"/>
  <c r="M66" i="23"/>
  <c r="L65" i="23"/>
  <c r="S65" i="23"/>
  <c r="O65" i="23"/>
  <c r="R65" i="23"/>
  <c r="M65" i="23"/>
  <c r="Q65" i="23"/>
  <c r="P65" i="23"/>
  <c r="N65" i="23"/>
  <c r="P132" i="31"/>
  <c r="O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O139" i="31"/>
  <c r="Q130" i="31"/>
  <c r="R130" i="31"/>
  <c r="N130" i="31"/>
  <c r="K126" i="31"/>
  <c r="H73" i="105" l="1"/>
  <c r="H115" i="105" s="1"/>
  <c r="H108" i="89" a="1"/>
  <c r="H108" i="89" s="1"/>
  <c r="H114" i="89" s="1"/>
  <c r="J37" i="55" s="1"/>
  <c r="K135" i="31"/>
  <c r="L141" i="31"/>
  <c r="J131" i="31"/>
  <c r="M131" i="31"/>
  <c r="M139" i="31"/>
  <c r="J139" i="31"/>
  <c r="H139" i="31" s="1"/>
  <c r="K139" i="31"/>
  <c r="K137" i="31"/>
  <c r="L139" i="31"/>
  <c r="N138" i="31"/>
  <c r="J135" i="31"/>
  <c r="J127" i="31"/>
  <c r="M140" i="31"/>
  <c r="N132" i="31"/>
  <c r="J129" i="31"/>
  <c r="L134" i="31"/>
  <c r="N131" i="31"/>
  <c r="L131" i="31"/>
  <c r="H44" i="73"/>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H56" i="112"/>
  <c r="H66" i="112" s="1" a="1"/>
  <c r="H66" i="112" s="1"/>
  <c r="J60" i="112"/>
  <c r="H62" i="112" s="1"/>
  <c r="H64" i="112" s="1"/>
  <c r="O133" i="31"/>
  <c r="J133" i="31"/>
  <c r="J137" i="31"/>
  <c r="O137" i="31"/>
  <c r="L133" i="31"/>
  <c r="K133" i="31"/>
  <c r="H76" i="105"/>
  <c r="H118" i="105" s="1"/>
  <c r="H43" i="41"/>
  <c r="H41" i="73"/>
  <c r="H42" i="73"/>
  <c r="H38" i="73"/>
  <c r="X108" i="105"/>
  <c r="T108" i="105"/>
  <c r="X109" i="105"/>
  <c r="T98" i="105"/>
  <c r="H43" i="73"/>
  <c r="H46" i="73"/>
  <c r="H45" i="73"/>
  <c r="H39" i="73"/>
  <c r="H40" i="73"/>
  <c r="J36"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55" i="81"/>
  <c r="S56" i="81" s="1"/>
  <c r="S114" i="81" s="1"/>
  <c r="S129" i="81"/>
  <c r="S302" i="53"/>
  <c r="R276" i="53"/>
  <c r="R302" i="53"/>
  <c r="R285" i="53"/>
  <c r="R274" i="53"/>
  <c r="J109" i="72" a="1"/>
  <c r="J69" i="83" a="1"/>
  <c r="J107" i="73" a="1"/>
  <c r="L21" i="31"/>
  <c r="L23" i="31" s="1"/>
  <c r="M20" i="31"/>
  <c r="L40" i="81"/>
  <c r="L48" i="81" s="1"/>
  <c r="L55" i="81" s="1"/>
  <c r="L56" i="81" s="1"/>
  <c r="L114" i="81" s="1"/>
  <c r="O40" i="81"/>
  <c r="O48" i="81" s="1"/>
  <c r="N40" i="81"/>
  <c r="N48" i="81" s="1"/>
  <c r="R40" i="81"/>
  <c r="R48" i="81" s="1"/>
  <c r="Q40" i="81"/>
  <c r="Q48" i="81" s="1"/>
  <c r="P40" i="81"/>
  <c r="P48" i="81" s="1"/>
  <c r="K40" i="81"/>
  <c r="K48" i="81" s="1"/>
  <c r="M40" i="81"/>
  <c r="M48" i="81" s="1"/>
  <c r="M55" i="81" s="1"/>
  <c r="M56" i="81" s="1"/>
  <c r="M114" i="81" s="1"/>
  <c r="K65" i="22"/>
  <c r="K64" i="65"/>
  <c r="K67" i="65"/>
  <c r="K102" i="22"/>
  <c r="N68" i="65"/>
  <c r="N113" i="22"/>
  <c r="N67" i="65"/>
  <c r="N102" i="22"/>
  <c r="K60" i="65"/>
  <c r="K123" i="22"/>
  <c r="M64" i="22"/>
  <c r="M55" i="65"/>
  <c r="M59" i="65"/>
  <c r="M112" i="22"/>
  <c r="O68" i="65"/>
  <c r="O113" i="22"/>
  <c r="O69" i="65"/>
  <c r="O124" i="22"/>
  <c r="M70" i="65"/>
  <c r="M135" i="22"/>
  <c r="L60" i="65"/>
  <c r="L123" i="22"/>
  <c r="L56" i="65"/>
  <c r="L75" i="22"/>
  <c r="Q124" i="22"/>
  <c r="Q69" i="65"/>
  <c r="Q68" i="65"/>
  <c r="Q113" i="22"/>
  <c r="L65" i="22"/>
  <c r="L64" i="65"/>
  <c r="L67" i="65"/>
  <c r="L102" i="22"/>
  <c r="P66" i="65"/>
  <c r="P87" i="22"/>
  <c r="P65" i="65"/>
  <c r="P76" i="22"/>
  <c r="P64" i="22"/>
  <c r="P55" i="65"/>
  <c r="O60" i="65"/>
  <c r="O123" i="22"/>
  <c r="O59" i="65"/>
  <c r="O112" i="22"/>
  <c r="J57" i="65"/>
  <c r="J86" i="22"/>
  <c r="J59" i="65"/>
  <c r="J112" i="22"/>
  <c r="J69" i="65"/>
  <c r="J124" i="22"/>
  <c r="J67" i="65"/>
  <c r="J102" i="22"/>
  <c r="Q61" i="65"/>
  <c r="Q134" i="22"/>
  <c r="Q56" i="65"/>
  <c r="Q75" i="22"/>
  <c r="N61" i="65"/>
  <c r="N134" i="22"/>
  <c r="K135" i="22"/>
  <c r="K70" i="65"/>
  <c r="K66" i="65"/>
  <c r="K87" i="22"/>
  <c r="N66" i="65"/>
  <c r="N87" i="22"/>
  <c r="K61" i="65"/>
  <c r="K134" i="22"/>
  <c r="K58" i="65"/>
  <c r="K101" i="22"/>
  <c r="M58" i="65"/>
  <c r="M101" i="22"/>
  <c r="M60" i="65"/>
  <c r="M123" i="22"/>
  <c r="O65" i="65"/>
  <c r="O76" i="22"/>
  <c r="M65" i="22"/>
  <c r="M64" i="65"/>
  <c r="M68" i="65"/>
  <c r="M113" i="22"/>
  <c r="L58" i="65"/>
  <c r="L101" i="22"/>
  <c r="L64" i="22"/>
  <c r="L55" i="65"/>
  <c r="Q102" i="22"/>
  <c r="Q67" i="65"/>
  <c r="Q65" i="65"/>
  <c r="Q76" i="22"/>
  <c r="L70" i="65"/>
  <c r="L135" i="22"/>
  <c r="L66" i="65"/>
  <c r="L87" i="22"/>
  <c r="P70" i="65"/>
  <c r="P135" i="22"/>
  <c r="P134" i="22"/>
  <c r="P61" i="65"/>
  <c r="P112" i="22"/>
  <c r="P59" i="65"/>
  <c r="O55" i="65"/>
  <c r="O64" i="22"/>
  <c r="O58" i="65"/>
  <c r="O101" i="22"/>
  <c r="J61" i="65"/>
  <c r="J134" i="22"/>
  <c r="J56" i="65"/>
  <c r="J75" i="22"/>
  <c r="J66" i="65"/>
  <c r="J87" i="22"/>
  <c r="J65" i="65"/>
  <c r="J76" i="22"/>
  <c r="Q60" i="65"/>
  <c r="Q123" i="22"/>
  <c r="N64" i="22"/>
  <c r="N55" i="65"/>
  <c r="N60" i="65"/>
  <c r="N123" i="22"/>
  <c r="S295" i="53"/>
  <c r="R295" i="53"/>
  <c r="K69" i="65"/>
  <c r="K124" i="22"/>
  <c r="N65" i="22"/>
  <c r="N64" i="65"/>
  <c r="N69" i="65"/>
  <c r="N124" i="22"/>
  <c r="K59" i="65"/>
  <c r="K112" i="22"/>
  <c r="K64" i="22"/>
  <c r="K55" i="65"/>
  <c r="M57" i="65"/>
  <c r="M86" i="22"/>
  <c r="M56" i="65"/>
  <c r="M75" i="22"/>
  <c r="O67" i="65"/>
  <c r="O102" i="22"/>
  <c r="O65" i="22"/>
  <c r="O64" i="65"/>
  <c r="M65" i="65"/>
  <c r="M76" i="22"/>
  <c r="M67" i="65"/>
  <c r="M102" i="22"/>
  <c r="L61" i="65"/>
  <c r="L134" i="22"/>
  <c r="L57" i="65"/>
  <c r="L86" i="22"/>
  <c r="Q65" i="22"/>
  <c r="Q64" i="65"/>
  <c r="Q87" i="22"/>
  <c r="Q66" i="65"/>
  <c r="L69" i="65"/>
  <c r="L124" i="22"/>
  <c r="P102" i="22"/>
  <c r="P67" i="65"/>
  <c r="P69" i="65"/>
  <c r="P124" i="22"/>
  <c r="P75" i="22"/>
  <c r="P56" i="65"/>
  <c r="P60" i="65"/>
  <c r="P123" i="22"/>
  <c r="O57" i="65"/>
  <c r="O86" i="22"/>
  <c r="O56" i="65"/>
  <c r="O75" i="22"/>
  <c r="J58" i="65"/>
  <c r="J101" i="22"/>
  <c r="J70" i="65"/>
  <c r="J135" i="22"/>
  <c r="Q57" i="65"/>
  <c r="Q86" i="22"/>
  <c r="Q59" i="65"/>
  <c r="Q112" i="22"/>
  <c r="N56" i="65"/>
  <c r="N75" i="22"/>
  <c r="N59" i="65"/>
  <c r="N112" i="22"/>
  <c r="R286" i="53"/>
  <c r="K65" i="65"/>
  <c r="K76" i="22"/>
  <c r="K113" i="22"/>
  <c r="K68" i="65"/>
  <c r="N70" i="65"/>
  <c r="N135" i="22"/>
  <c r="N65" i="65"/>
  <c r="N76" i="22"/>
  <c r="K56" i="65"/>
  <c r="K75" i="22"/>
  <c r="K57" i="65"/>
  <c r="K86" i="22"/>
  <c r="M61" i="65"/>
  <c r="M134" i="22"/>
  <c r="O70" i="65"/>
  <c r="O135" i="22"/>
  <c r="O66" i="65"/>
  <c r="O87" i="22"/>
  <c r="M69" i="65"/>
  <c r="M124" i="22"/>
  <c r="M66" i="65"/>
  <c r="M87" i="22"/>
  <c r="L59" i="65"/>
  <c r="L112" i="22"/>
  <c r="Q70" i="65"/>
  <c r="Q135" i="22"/>
  <c r="L65" i="65"/>
  <c r="L76" i="22"/>
  <c r="L113" i="22"/>
  <c r="L68" i="65"/>
  <c r="P65" i="22"/>
  <c r="P64" i="65"/>
  <c r="P68" i="65"/>
  <c r="P113" i="22"/>
  <c r="P86" i="22"/>
  <c r="P57" i="65"/>
  <c r="P58" i="65"/>
  <c r="P101" i="22"/>
  <c r="O61" i="65"/>
  <c r="O134" i="22"/>
  <c r="J60" i="65"/>
  <c r="J123" i="22"/>
  <c r="J55" i="65"/>
  <c r="J64" i="22"/>
  <c r="J68" i="65"/>
  <c r="J113" i="22"/>
  <c r="J65" i="22"/>
  <c r="J64" i="65"/>
  <c r="Q64" i="22"/>
  <c r="Q55" i="65"/>
  <c r="Q58" i="65"/>
  <c r="Q101" i="22"/>
  <c r="N58" i="65"/>
  <c r="N101" i="22"/>
  <c r="N57" i="65"/>
  <c r="N86" i="22"/>
  <c r="R290" i="53"/>
  <c r="S290" i="53"/>
  <c r="V56" i="41"/>
  <c r="Y56" i="41"/>
  <c r="R299" i="53"/>
  <c r="S279" i="53"/>
  <c r="U55" i="41"/>
  <c r="T56" i="41"/>
  <c r="X56" i="41"/>
  <c r="R278" i="53"/>
  <c r="R301" i="53"/>
  <c r="T109" i="105"/>
  <c r="T55" i="41"/>
  <c r="X55" i="41"/>
  <c r="S301" i="53"/>
  <c r="S287" i="53"/>
  <c r="R279" i="53"/>
  <c r="T99" i="105"/>
  <c r="V108" i="105"/>
  <c r="U56" i="41"/>
  <c r="W55" i="41"/>
  <c r="S275" i="53"/>
  <c r="R277" i="53"/>
  <c r="S277" i="53"/>
  <c r="S276" i="53"/>
  <c r="W56" i="41"/>
  <c r="V55" i="41"/>
  <c r="J34" i="55"/>
  <c r="H70" i="23" a="1"/>
  <c r="H70" i="23" s="1"/>
  <c r="A4" i="23" s="1"/>
  <c r="H136" i="31"/>
  <c r="A4" i="70"/>
  <c r="J38" i="55"/>
  <c r="H126" i="31"/>
  <c r="O136" i="22" l="1"/>
  <c r="O35" i="41" s="1"/>
  <c r="O156" i="41" s="1"/>
  <c r="A4" i="89"/>
  <c r="K77" i="22"/>
  <c r="K30" i="41" s="1"/>
  <c r="H77" i="105"/>
  <c r="H119" i="105" s="1"/>
  <c r="H129" i="31"/>
  <c r="S148" i="31" s="1"/>
  <c r="H130" i="31"/>
  <c r="Q149" i="31" s="1"/>
  <c r="H131" i="31"/>
  <c r="S150" i="31" s="1"/>
  <c r="H138" i="31"/>
  <c r="N176" i="31" s="1"/>
  <c r="H132" i="31"/>
  <c r="H128" i="31"/>
  <c r="R147" i="31" s="1"/>
  <c r="H127" i="31"/>
  <c r="R146" i="31" s="1"/>
  <c r="H140" i="31"/>
  <c r="H133" i="31"/>
  <c r="N152" i="31" s="1"/>
  <c r="H134" i="31"/>
  <c r="L172" i="31" s="1"/>
  <c r="H135" i="31"/>
  <c r="J154" i="31" s="1"/>
  <c r="H137" i="31"/>
  <c r="N175" i="31" s="1"/>
  <c r="H141" i="31"/>
  <c r="K179" i="31" s="1"/>
  <c r="P88" i="22"/>
  <c r="P31" i="41" s="1"/>
  <c r="K114" i="22"/>
  <c r="K188" i="80" s="1"/>
  <c r="BE122" i="41"/>
  <c r="BA122" i="41"/>
  <c r="AW122" i="41"/>
  <c r="AS122" i="41"/>
  <c r="AO122" i="41"/>
  <c r="AK122" i="41"/>
  <c r="AG122" i="41"/>
  <c r="AC122" i="41"/>
  <c r="Y122" i="41"/>
  <c r="U122" i="41"/>
  <c r="Q122" i="41"/>
  <c r="M122" i="41"/>
  <c r="Z122" i="41"/>
  <c r="N122" i="41"/>
  <c r="BD122" i="41"/>
  <c r="AZ122" i="41"/>
  <c r="AV122" i="41"/>
  <c r="AR122" i="41"/>
  <c r="AN122" i="41"/>
  <c r="AJ122" i="41"/>
  <c r="AF122" i="41"/>
  <c r="AB122" i="41"/>
  <c r="X122" i="41"/>
  <c r="T122" i="41"/>
  <c r="P122" i="41"/>
  <c r="L122" i="41"/>
  <c r="AH122" i="41"/>
  <c r="R122" i="41"/>
  <c r="J122" i="41"/>
  <c r="BC122" i="41"/>
  <c r="AY122" i="41"/>
  <c r="AU122" i="41"/>
  <c r="AQ122" i="41"/>
  <c r="AM122" i="41"/>
  <c r="AI122" i="41"/>
  <c r="AE122" i="41"/>
  <c r="AA122" i="41"/>
  <c r="W122" i="41"/>
  <c r="S122" i="41"/>
  <c r="O122" i="41"/>
  <c r="K122" i="41"/>
  <c r="BB122" i="41"/>
  <c r="AX122" i="41"/>
  <c r="AT122" i="41"/>
  <c r="AP122" i="41"/>
  <c r="AL122" i="41"/>
  <c r="AD122" i="41"/>
  <c r="V122" i="41"/>
  <c r="A4" i="112"/>
  <c r="N114" i="22"/>
  <c r="N33" i="41" s="1"/>
  <c r="N154" i="41" s="1"/>
  <c r="P125" i="22"/>
  <c r="P189" i="80" s="1"/>
  <c r="N66" i="22"/>
  <c r="N29" i="41" s="1"/>
  <c r="Q114" i="22"/>
  <c r="Q188" i="80" s="1"/>
  <c r="O77" i="22"/>
  <c r="O30" i="41" s="1"/>
  <c r="M77" i="22"/>
  <c r="M30" i="41" s="1"/>
  <c r="P77" i="22"/>
  <c r="P30" i="41" s="1"/>
  <c r="Q66" i="22"/>
  <c r="Q31" i="53" s="1"/>
  <c r="K136" i="22"/>
  <c r="K35" i="41" s="1"/>
  <c r="K156" i="41" s="1"/>
  <c r="Q103" i="22"/>
  <c r="Q16" i="111" s="1"/>
  <c r="L114" i="22"/>
  <c r="L33" i="41" s="1"/>
  <c r="L154" i="41" s="1"/>
  <c r="K66" i="22"/>
  <c r="K56" i="80" s="1"/>
  <c r="M88" i="22"/>
  <c r="M58" i="80" s="1"/>
  <c r="M103" i="22"/>
  <c r="M32" i="41" s="1"/>
  <c r="M153" i="41" s="1"/>
  <c r="J107" i="73"/>
  <c r="N107" i="73"/>
  <c r="R107" i="73"/>
  <c r="V107" i="73"/>
  <c r="J108" i="73"/>
  <c r="N108" i="73"/>
  <c r="R108" i="73"/>
  <c r="V108" i="73"/>
  <c r="J109" i="73"/>
  <c r="N109" i="73"/>
  <c r="R109" i="73"/>
  <c r="V109" i="73"/>
  <c r="J110" i="73"/>
  <c r="N110" i="73"/>
  <c r="R110" i="73"/>
  <c r="V110" i="73"/>
  <c r="J111" i="73"/>
  <c r="N111" i="73"/>
  <c r="R111" i="73"/>
  <c r="V111" i="73"/>
  <c r="J112" i="73"/>
  <c r="N112" i="73"/>
  <c r="R112" i="73"/>
  <c r="V112" i="73"/>
  <c r="J113" i="73"/>
  <c r="N113" i="73"/>
  <c r="R113" i="73"/>
  <c r="V113" i="73"/>
  <c r="J114" i="73"/>
  <c r="N114" i="73"/>
  <c r="R114" i="73"/>
  <c r="V114" i="73"/>
  <c r="K107" i="73"/>
  <c r="O107" i="73"/>
  <c r="S107" i="73"/>
  <c r="W107" i="73"/>
  <c r="K108" i="73"/>
  <c r="O108" i="73"/>
  <c r="S108" i="73"/>
  <c r="W108" i="73"/>
  <c r="K109" i="73"/>
  <c r="O109" i="73"/>
  <c r="S109" i="73"/>
  <c r="W109" i="73"/>
  <c r="K110" i="73"/>
  <c r="O110" i="73"/>
  <c r="S110" i="73"/>
  <c r="W110" i="73"/>
  <c r="K111" i="73"/>
  <c r="O111" i="73"/>
  <c r="S111" i="73"/>
  <c r="W111" i="73"/>
  <c r="K112" i="73"/>
  <c r="O112" i="73"/>
  <c r="S112" i="73"/>
  <c r="W112" i="73"/>
  <c r="K113" i="73"/>
  <c r="O113" i="73"/>
  <c r="S113" i="73"/>
  <c r="W113" i="73"/>
  <c r="K114" i="73"/>
  <c r="O114" i="73"/>
  <c r="S114" i="73"/>
  <c r="W114"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J69" i="83"/>
  <c r="Q74" i="83"/>
  <c r="M72" i="83"/>
  <c r="M70" i="83"/>
  <c r="T76" i="83"/>
  <c r="T75" i="83"/>
  <c r="Y75" i="83"/>
  <c r="Q72" i="83"/>
  <c r="Y69" i="83"/>
  <c r="L76" i="83"/>
  <c r="X74" i="83"/>
  <c r="X73" i="83"/>
  <c r="X72" i="83"/>
  <c r="X71" i="83"/>
  <c r="X70" i="83"/>
  <c r="X69" i="83"/>
  <c r="U76" i="83"/>
  <c r="Q73" i="83"/>
  <c r="W76" i="83"/>
  <c r="W75" i="83"/>
  <c r="W74" i="83"/>
  <c r="W73" i="83"/>
  <c r="W72" i="83"/>
  <c r="W71" i="83"/>
  <c r="W70" i="83"/>
  <c r="W69" i="83"/>
  <c r="Y76" i="83"/>
  <c r="Y73" i="83"/>
  <c r="U70" i="83"/>
  <c r="N76" i="83"/>
  <c r="N75" i="83"/>
  <c r="N74" i="83"/>
  <c r="N73" i="83"/>
  <c r="N72" i="83"/>
  <c r="N71" i="83"/>
  <c r="N70" i="83"/>
  <c r="N69" i="83"/>
  <c r="M75" i="83"/>
  <c r="Q71" i="83"/>
  <c r="M69" i="83"/>
  <c r="X75" i="83"/>
  <c r="T74" i="83"/>
  <c r="T73" i="83"/>
  <c r="T72" i="83"/>
  <c r="T71" i="83"/>
  <c r="T70" i="83"/>
  <c r="T69" i="83"/>
  <c r="U75" i="83"/>
  <c r="U72" i="83"/>
  <c r="S76" i="83"/>
  <c r="S75" i="83"/>
  <c r="S74" i="83"/>
  <c r="S73" i="83"/>
  <c r="S72" i="83"/>
  <c r="S71" i="83"/>
  <c r="S70" i="83"/>
  <c r="S69" i="83"/>
  <c r="M76" i="83"/>
  <c r="Y72" i="83"/>
  <c r="U69" i="83"/>
  <c r="J76" i="83"/>
  <c r="J75" i="83"/>
  <c r="J74" i="83"/>
  <c r="J73" i="83"/>
  <c r="J72" i="83"/>
  <c r="J71" i="83"/>
  <c r="J70" i="83"/>
  <c r="Y70" i="83"/>
  <c r="P75" i="83"/>
  <c r="P73" i="83"/>
  <c r="P71" i="83"/>
  <c r="P69" i="83"/>
  <c r="U71" i="83"/>
  <c r="O75" i="83"/>
  <c r="O73" i="83"/>
  <c r="O71" i="83"/>
  <c r="O69" i="83"/>
  <c r="Y71" i="83"/>
  <c r="V75" i="83"/>
  <c r="V73" i="83"/>
  <c r="V71" i="83"/>
  <c r="V69" i="83"/>
  <c r="U73" i="83"/>
  <c r="P74" i="83"/>
  <c r="P70" i="83"/>
  <c r="O76" i="83"/>
  <c r="O72" i="83"/>
  <c r="Q75" i="83"/>
  <c r="V74" i="83"/>
  <c r="V70" i="83"/>
  <c r="M73" i="83"/>
  <c r="L74" i="83"/>
  <c r="L70" i="83"/>
  <c r="K76" i="83"/>
  <c r="K72" i="83"/>
  <c r="U74" i="83"/>
  <c r="R74" i="83"/>
  <c r="R70" i="83"/>
  <c r="Q76" i="83"/>
  <c r="Q70" i="83"/>
  <c r="L75" i="83"/>
  <c r="L73" i="83"/>
  <c r="L71" i="83"/>
  <c r="L69" i="83"/>
  <c r="Q69" i="83"/>
  <c r="K75" i="83"/>
  <c r="K73" i="83"/>
  <c r="K71" i="83"/>
  <c r="K69" i="83"/>
  <c r="M71" i="83"/>
  <c r="R75" i="83"/>
  <c r="R73" i="83"/>
  <c r="R71" i="83"/>
  <c r="R69" i="83"/>
  <c r="X76" i="83"/>
  <c r="P72" i="83"/>
  <c r="Y74" i="83"/>
  <c r="O74" i="83"/>
  <c r="O70" i="83"/>
  <c r="V76" i="83"/>
  <c r="V72" i="83"/>
  <c r="P76" i="83"/>
  <c r="L72" i="83"/>
  <c r="M74" i="83"/>
  <c r="K74" i="83"/>
  <c r="K70" i="83"/>
  <c r="R76" i="83"/>
  <c r="R72" i="83"/>
  <c r="J109" i="72"/>
  <c r="U115" i="72"/>
  <c r="M114" i="72"/>
  <c r="Q112" i="72"/>
  <c r="Q110" i="72"/>
  <c r="X116" i="72"/>
  <c r="X115" i="72"/>
  <c r="X114" i="72"/>
  <c r="X113" i="72"/>
  <c r="X112" i="72"/>
  <c r="X111" i="72"/>
  <c r="X110" i="72"/>
  <c r="X109" i="72"/>
  <c r="M115" i="72"/>
  <c r="U112" i="72"/>
  <c r="U110" i="72"/>
  <c r="O116" i="72"/>
  <c r="O115" i="72"/>
  <c r="O114" i="72"/>
  <c r="O113" i="72"/>
  <c r="O112" i="72"/>
  <c r="O111" i="72"/>
  <c r="O110" i="72"/>
  <c r="O109" i="72"/>
  <c r="N116" i="72"/>
  <c r="N115" i="72"/>
  <c r="N114" i="72"/>
  <c r="N113" i="72"/>
  <c r="N112" i="72"/>
  <c r="N111" i="72"/>
  <c r="N110" i="72"/>
  <c r="N109" i="72"/>
  <c r="Y114" i="72"/>
  <c r="Y112" i="72"/>
  <c r="Y109" i="72"/>
  <c r="L116" i="72"/>
  <c r="T114" i="72"/>
  <c r="P113" i="72"/>
  <c r="L112" i="72"/>
  <c r="T110" i="72"/>
  <c r="P109" i="72"/>
  <c r="Q116" i="72"/>
  <c r="Q113" i="72"/>
  <c r="M110" i="72"/>
  <c r="W116" i="72"/>
  <c r="S115" i="72"/>
  <c r="K114" i="72"/>
  <c r="W112" i="72"/>
  <c r="S111" i="72"/>
  <c r="K110" i="72"/>
  <c r="V116" i="72"/>
  <c r="R115" i="72"/>
  <c r="J114" i="72"/>
  <c r="V112" i="72"/>
  <c r="R111" i="72"/>
  <c r="J110" i="72"/>
  <c r="U116" i="72"/>
  <c r="Q114" i="72"/>
  <c r="Y111" i="72"/>
  <c r="U109" i="72"/>
  <c r="T115" i="72"/>
  <c r="P114" i="72"/>
  <c r="L113" i="72"/>
  <c r="T111" i="72"/>
  <c r="P110" i="72"/>
  <c r="L109" i="72"/>
  <c r="Y115" i="72"/>
  <c r="M112" i="72"/>
  <c r="M109" i="72"/>
  <c r="S116" i="72"/>
  <c r="K115" i="72"/>
  <c r="W113" i="72"/>
  <c r="S112" i="72"/>
  <c r="K111" i="72"/>
  <c r="W109" i="72"/>
  <c r="R116" i="72"/>
  <c r="J115" i="72"/>
  <c r="V113" i="72"/>
  <c r="R112" i="72"/>
  <c r="J111" i="72"/>
  <c r="V109" i="72"/>
  <c r="U113" i="72"/>
  <c r="Q109" i="72"/>
  <c r="T116" i="72"/>
  <c r="L114" i="72"/>
  <c r="P111" i="72"/>
  <c r="U111" i="72"/>
  <c r="W114" i="72"/>
  <c r="K112" i="72"/>
  <c r="S109" i="72"/>
  <c r="V114" i="72"/>
  <c r="J112" i="72"/>
  <c r="R109" i="72"/>
  <c r="Q111" i="72"/>
  <c r="P115" i="72"/>
  <c r="L110" i="72"/>
  <c r="U114" i="72"/>
  <c r="S113" i="72"/>
  <c r="J116" i="72"/>
  <c r="V110" i="72"/>
  <c r="Y110" i="72"/>
  <c r="P112" i="72"/>
  <c r="T109" i="72"/>
  <c r="Y113" i="72"/>
  <c r="K113" i="72"/>
  <c r="S110" i="72"/>
  <c r="J113" i="72"/>
  <c r="M113" i="72"/>
  <c r="P116" i="72"/>
  <c r="T113" i="72"/>
  <c r="L111" i="72"/>
  <c r="Y116" i="72"/>
  <c r="M111" i="72"/>
  <c r="S114" i="72"/>
  <c r="W111" i="72"/>
  <c r="K109" i="72"/>
  <c r="R114" i="72"/>
  <c r="V111" i="72"/>
  <c r="M116" i="72"/>
  <c r="T112" i="72"/>
  <c r="K116" i="72"/>
  <c r="W110" i="72"/>
  <c r="R113" i="72"/>
  <c r="Q115" i="72"/>
  <c r="L115" i="72"/>
  <c r="W115" i="72"/>
  <c r="V115" i="72"/>
  <c r="R110" i="72"/>
  <c r="L88" i="22"/>
  <c r="L58" i="80" s="1"/>
  <c r="L103" i="22"/>
  <c r="L32" i="41" s="1"/>
  <c r="L153" i="41" s="1"/>
  <c r="L66" i="22"/>
  <c r="L29" i="41" s="1"/>
  <c r="J103" i="22"/>
  <c r="J16" i="111" s="1"/>
  <c r="J66" i="22"/>
  <c r="J31" i="53" s="1"/>
  <c r="N125" i="22"/>
  <c r="N189" i="80" s="1"/>
  <c r="N136" i="22"/>
  <c r="N35" i="41" s="1"/>
  <c r="N156" i="41" s="1"/>
  <c r="O125" i="22"/>
  <c r="O189" i="80" s="1"/>
  <c r="P136" i="22"/>
  <c r="P35" i="41" s="1"/>
  <c r="P156" i="41" s="1"/>
  <c r="S179" i="31"/>
  <c r="O179" i="31"/>
  <c r="M179" i="31"/>
  <c r="R173" i="31"/>
  <c r="N173" i="31"/>
  <c r="J173" i="31"/>
  <c r="Q173" i="31"/>
  <c r="M173" i="31"/>
  <c r="S173" i="31"/>
  <c r="L173" i="31"/>
  <c r="P173" i="31"/>
  <c r="K173" i="31"/>
  <c r="O173" i="31"/>
  <c r="S176" i="31"/>
  <c r="J176" i="31"/>
  <c r="N154" i="31"/>
  <c r="O154" i="31"/>
  <c r="R177" i="31"/>
  <c r="N177" i="31"/>
  <c r="J177" i="31"/>
  <c r="Q177" i="31"/>
  <c r="M177" i="31"/>
  <c r="L177" i="31"/>
  <c r="S177" i="31"/>
  <c r="K177" i="31"/>
  <c r="P177" i="31"/>
  <c r="O177" i="31"/>
  <c r="R175" i="31"/>
  <c r="P174" i="31"/>
  <c r="L174" i="31"/>
  <c r="S174" i="31"/>
  <c r="O174" i="31"/>
  <c r="K174" i="31"/>
  <c r="R174" i="31"/>
  <c r="J174" i="31"/>
  <c r="Q174" i="31"/>
  <c r="N174" i="31"/>
  <c r="M174" i="31"/>
  <c r="Q150" i="31"/>
  <c r="P178" i="31"/>
  <c r="L178" i="31"/>
  <c r="S178" i="31"/>
  <c r="O178" i="31"/>
  <c r="K178" i="31"/>
  <c r="R178" i="31"/>
  <c r="J178" i="31"/>
  <c r="Q178" i="31"/>
  <c r="N178" i="31"/>
  <c r="M178" i="31"/>
  <c r="P154" i="31"/>
  <c r="S154" i="31"/>
  <c r="J150" i="31"/>
  <c r="O150" i="31"/>
  <c r="M154" i="31"/>
  <c r="K154" i="31"/>
  <c r="R154" i="31"/>
  <c r="N150" i="31"/>
  <c r="R129" i="81"/>
  <c r="R55" i="81"/>
  <c r="R56" i="81" s="1"/>
  <c r="R114" i="81" s="1"/>
  <c r="M21" i="31"/>
  <c r="N20" i="31"/>
  <c r="N129" i="81"/>
  <c r="N55" i="81"/>
  <c r="N56" i="81" s="1"/>
  <c r="N114" i="81" s="1"/>
  <c r="P129" i="81"/>
  <c r="P55" i="81"/>
  <c r="P56" i="81" s="1"/>
  <c r="P114" i="81" s="1"/>
  <c r="O129" i="81"/>
  <c r="O55" i="81"/>
  <c r="O56" i="81" s="1"/>
  <c r="O114" i="81" s="1"/>
  <c r="Q55" i="81"/>
  <c r="Q56" i="81" s="1"/>
  <c r="Q114" i="81" s="1"/>
  <c r="Q129" i="81"/>
  <c r="J136" i="22"/>
  <c r="J35" i="41" s="1"/>
  <c r="J156" i="41" s="1"/>
  <c r="O66" i="22"/>
  <c r="K88" i="22"/>
  <c r="J88" i="22"/>
  <c r="L77" i="22"/>
  <c r="M66" i="22"/>
  <c r="N103" i="22"/>
  <c r="J125" i="22"/>
  <c r="P103" i="22"/>
  <c r="Q136" i="22"/>
  <c r="Q35" i="41" s="1"/>
  <c r="Q156" i="41" s="1"/>
  <c r="M136" i="22"/>
  <c r="M35" i="41" s="1"/>
  <c r="M156" i="41" s="1"/>
  <c r="K32" i="53"/>
  <c r="J77" i="22"/>
  <c r="O103" i="22"/>
  <c r="L136" i="22"/>
  <c r="L35" i="41" s="1"/>
  <c r="L156" i="41" s="1"/>
  <c r="M125" i="22"/>
  <c r="K103" i="22"/>
  <c r="N88" i="22"/>
  <c r="Q77" i="22"/>
  <c r="J114" i="22"/>
  <c r="O114" i="22"/>
  <c r="L125" i="22"/>
  <c r="M114" i="22"/>
  <c r="K125" i="22"/>
  <c r="J149" i="31"/>
  <c r="N77" i="22"/>
  <c r="Q88" i="22"/>
  <c r="O88" i="22"/>
  <c r="P114" i="22"/>
  <c r="P66" i="22"/>
  <c r="Q125" i="22"/>
  <c r="R149" i="31"/>
  <c r="O149" i="31"/>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0" i="55"/>
  <c r="N149" i="31"/>
  <c r="M149" i="31"/>
  <c r="K149" i="31"/>
  <c r="S149" i="31"/>
  <c r="P149" i="31"/>
  <c r="L149" i="31"/>
  <c r="J145" i="31"/>
  <c r="O145" i="31"/>
  <c r="Q145" i="31"/>
  <c r="K145" i="31"/>
  <c r="M145" i="31"/>
  <c r="S145" i="31"/>
  <c r="R145" i="31"/>
  <c r="N145" i="31"/>
  <c r="P145" i="31"/>
  <c r="L145" i="31"/>
  <c r="R148" i="31"/>
  <c r="Q148" i="31"/>
  <c r="J148" i="31"/>
  <c r="N148" i="31"/>
  <c r="O148" i="31"/>
  <c r="P148" i="31"/>
  <c r="S157" i="31"/>
  <c r="J157" i="31"/>
  <c r="P158" i="31"/>
  <c r="L158" i="31"/>
  <c r="N158" i="31"/>
  <c r="S158" i="31"/>
  <c r="J158" i="31"/>
  <c r="Q158" i="31"/>
  <c r="R158" i="31"/>
  <c r="M158" i="31"/>
  <c r="O158" i="31"/>
  <c r="K158" i="31"/>
  <c r="S151" i="31"/>
  <c r="Q151" i="31"/>
  <c r="O151" i="31"/>
  <c r="M151" i="31"/>
  <c r="K151" i="31"/>
  <c r="L151" i="31"/>
  <c r="R151" i="31"/>
  <c r="P151" i="31"/>
  <c r="J151" i="31"/>
  <c r="N151" i="31"/>
  <c r="K153" i="31"/>
  <c r="S160" i="31"/>
  <c r="J160" i="31"/>
  <c r="M160" i="31"/>
  <c r="O160" i="31"/>
  <c r="N160" i="31"/>
  <c r="K160" i="31"/>
  <c r="N146" i="31"/>
  <c r="S146" i="31"/>
  <c r="Q146" i="31"/>
  <c r="L146" i="31"/>
  <c r="M146" i="31"/>
  <c r="P146" i="31"/>
  <c r="J146" i="31"/>
  <c r="P159" i="31"/>
  <c r="O159" i="31"/>
  <c r="J159" i="31"/>
  <c r="Q159" i="31"/>
  <c r="K159" i="31"/>
  <c r="M159" i="31"/>
  <c r="S159" i="31"/>
  <c r="N159" i="31"/>
  <c r="R159" i="31"/>
  <c r="L159" i="31"/>
  <c r="S155" i="31"/>
  <c r="J155" i="31"/>
  <c r="O155" i="31"/>
  <c r="Q155" i="31"/>
  <c r="K155" i="31"/>
  <c r="M155" i="31"/>
  <c r="N155" i="31"/>
  <c r="L155" i="31"/>
  <c r="R155" i="31"/>
  <c r="P155" i="31"/>
  <c r="M152" i="31"/>
  <c r="O152" i="31"/>
  <c r="K152" i="31"/>
  <c r="L152" i="31"/>
  <c r="R152" i="31"/>
  <c r="Q152" i="31"/>
  <c r="J152" i="31"/>
  <c r="K57" i="80" l="1"/>
  <c r="P34" i="41"/>
  <c r="P155" i="41" s="1"/>
  <c r="O57" i="80"/>
  <c r="K29" i="41"/>
  <c r="J56" i="80"/>
  <c r="N157" i="31"/>
  <c r="O157" i="31"/>
  <c r="K176" i="31"/>
  <c r="S152" i="31"/>
  <c r="P152" i="31"/>
  <c r="K146" i="31"/>
  <c r="O146" i="31"/>
  <c r="L160" i="31"/>
  <c r="Q160" i="31"/>
  <c r="R157" i="31"/>
  <c r="M157" i="31"/>
  <c r="M148" i="31"/>
  <c r="L148" i="31"/>
  <c r="M150" i="31"/>
  <c r="R150" i="31"/>
  <c r="L150" i="31"/>
  <c r="Q176" i="31"/>
  <c r="O176" i="31"/>
  <c r="P153" i="31"/>
  <c r="P157" i="31"/>
  <c r="Q157" i="31"/>
  <c r="S172" i="31"/>
  <c r="R176" i="31"/>
  <c r="L176" i="31"/>
  <c r="P160" i="31"/>
  <c r="R160" i="31"/>
  <c r="K157" i="31"/>
  <c r="K148" i="31"/>
  <c r="Q172" i="31"/>
  <c r="M176" i="31"/>
  <c r="P176" i="31"/>
  <c r="P179" i="31"/>
  <c r="K150" i="31"/>
  <c r="L157" i="31"/>
  <c r="P172" i="31"/>
  <c r="P150" i="31"/>
  <c r="K147" i="31"/>
  <c r="L147" i="31"/>
  <c r="Q147" i="31"/>
  <c r="J147" i="31"/>
  <c r="N147" i="31"/>
  <c r="P147" i="31"/>
  <c r="O147" i="31"/>
  <c r="Q179" i="31"/>
  <c r="M147" i="31"/>
  <c r="S147" i="31"/>
  <c r="N179" i="31"/>
  <c r="J179" i="31"/>
  <c r="R179" i="31"/>
  <c r="O156" i="31"/>
  <c r="L179" i="31"/>
  <c r="S175" i="31"/>
  <c r="J156" i="31"/>
  <c r="L175" i="31"/>
  <c r="L156" i="31"/>
  <c r="O175" i="31"/>
  <c r="P156" i="31"/>
  <c r="P175" i="31"/>
  <c r="R156" i="31"/>
  <c r="M175" i="31"/>
  <c r="M156" i="31"/>
  <c r="Q175" i="31"/>
  <c r="N156" i="31"/>
  <c r="K156" i="31"/>
  <c r="J175" i="31"/>
  <c r="S156" i="31"/>
  <c r="Q156" i="31"/>
  <c r="Q18" i="74"/>
  <c r="K175" i="31"/>
  <c r="O153" i="31"/>
  <c r="L153" i="31"/>
  <c r="R153" i="31"/>
  <c r="J172" i="31"/>
  <c r="M172" i="31"/>
  <c r="Q153" i="31"/>
  <c r="N153" i="31"/>
  <c r="M153" i="31"/>
  <c r="O172" i="31"/>
  <c r="R172" i="31"/>
  <c r="J153" i="31"/>
  <c r="S153" i="31"/>
  <c r="N172" i="31"/>
  <c r="K172" i="31"/>
  <c r="Q154" i="31"/>
  <c r="L154" i="31"/>
  <c r="N188" i="80"/>
  <c r="N191" i="80" s="1"/>
  <c r="N192" i="80" s="1"/>
  <c r="P33" i="53"/>
  <c r="M33" i="53"/>
  <c r="K33" i="41"/>
  <c r="K154" i="41" s="1"/>
  <c r="P58" i="80"/>
  <c r="M32" i="53"/>
  <c r="N56" i="80"/>
  <c r="N31" i="53"/>
  <c r="L31" i="53"/>
  <c r="Q56" i="80"/>
  <c r="L16" i="111"/>
  <c r="L27" i="111" s="1"/>
  <c r="L33" i="111" s="1"/>
  <c r="J53" i="55"/>
  <c r="L56" i="80"/>
  <c r="M31" i="41"/>
  <c r="M84" i="41" s="1"/>
  <c r="AS103" i="41" s="1"/>
  <c r="Q33" i="41"/>
  <c r="Q154" i="41" s="1"/>
  <c r="L33" i="53"/>
  <c r="L188" i="80"/>
  <c r="L31" i="41"/>
  <c r="L84" i="41" s="1"/>
  <c r="AR103" i="41" s="1"/>
  <c r="J29" i="41"/>
  <c r="J82" i="41" s="1"/>
  <c r="J103" i="41" s="1"/>
  <c r="Q29" i="41"/>
  <c r="Q82" i="41" s="1"/>
  <c r="Q103" i="41" s="1"/>
  <c r="O32" i="53"/>
  <c r="L18" i="74"/>
  <c r="N34" i="41"/>
  <c r="N155" i="41" s="1"/>
  <c r="K31" i="53"/>
  <c r="P57" i="80"/>
  <c r="J32" i="41"/>
  <c r="J153" i="41" s="1"/>
  <c r="M16" i="111"/>
  <c r="M28" i="111" s="1"/>
  <c r="M34" i="111" s="1"/>
  <c r="P32" i="53"/>
  <c r="P92" i="22"/>
  <c r="P17" i="111" s="1"/>
  <c r="M57" i="80"/>
  <c r="J18" i="74"/>
  <c r="M18" i="74"/>
  <c r="Q32" i="41"/>
  <c r="Q153" i="41" s="1"/>
  <c r="O34" i="41"/>
  <c r="O155" i="41" s="1"/>
  <c r="H129" i="81"/>
  <c r="N21" i="31"/>
  <c r="N23" i="31" s="1"/>
  <c r="O20" i="31"/>
  <c r="H20" i="83" a="1"/>
  <c r="H51" i="72" a="1"/>
  <c r="H53" i="73" a="1"/>
  <c r="M23" i="31"/>
  <c r="P22" i="31"/>
  <c r="P23" i="31" s="1"/>
  <c r="P188" i="80"/>
  <c r="P191" i="80" s="1"/>
  <c r="P192" i="80" s="1"/>
  <c r="P33" i="41"/>
  <c r="P154" i="41" s="1"/>
  <c r="L34" i="41"/>
  <c r="L155" i="41" s="1"/>
  <c r="L189" i="80"/>
  <c r="N58" i="80"/>
  <c r="N31" i="41"/>
  <c r="N33" i="53"/>
  <c r="N92" i="22"/>
  <c r="N17" i="111" s="1"/>
  <c r="O32" i="41"/>
  <c r="O153" i="41" s="1"/>
  <c r="O18" i="74"/>
  <c r="O16" i="111"/>
  <c r="J34" i="41"/>
  <c r="J155" i="41" s="1"/>
  <c r="J189" i="80"/>
  <c r="M56" i="80"/>
  <c r="M31" i="53"/>
  <c r="M29" i="41"/>
  <c r="M82" i="41" s="1"/>
  <c r="M103" i="41" s="1"/>
  <c r="L57" i="80"/>
  <c r="L30" i="41"/>
  <c r="L32" i="53"/>
  <c r="O31" i="53"/>
  <c r="O29" i="41"/>
  <c r="O56" i="80"/>
  <c r="O92" i="22"/>
  <c r="O17" i="111" s="1"/>
  <c r="O31" i="41"/>
  <c r="O58" i="80"/>
  <c r="O33" i="53"/>
  <c r="Q58" i="80"/>
  <c r="Q31" i="41"/>
  <c r="Q33" i="53"/>
  <c r="Q92" i="22"/>
  <c r="Q17" i="111" s="1"/>
  <c r="Q29" i="111" s="1"/>
  <c r="O33" i="41"/>
  <c r="O154" i="41" s="1"/>
  <c r="O188" i="80"/>
  <c r="O191" i="80" s="1"/>
  <c r="O192" i="80" s="1"/>
  <c r="K32" i="41"/>
  <c r="K153" i="41" s="1"/>
  <c r="K16" i="111"/>
  <c r="K18" i="74"/>
  <c r="J32" i="53"/>
  <c r="J30" i="41"/>
  <c r="J57" i="80"/>
  <c r="N32" i="41"/>
  <c r="N153" i="41" s="1"/>
  <c r="N18" i="74"/>
  <c r="N16" i="111"/>
  <c r="Q34" i="41"/>
  <c r="Q155" i="41" s="1"/>
  <c r="Q189" i="80"/>
  <c r="Q191" i="80" s="1"/>
  <c r="Q192" i="80" s="1"/>
  <c r="J28" i="111"/>
  <c r="J34" i="111" s="1"/>
  <c r="J27" i="111"/>
  <c r="J33" i="111" s="1"/>
  <c r="N32" i="53"/>
  <c r="N57" i="80"/>
  <c r="N30" i="41"/>
  <c r="K189" i="80"/>
  <c r="K191" i="80" s="1"/>
  <c r="K192" i="80" s="1"/>
  <c r="K34" i="41"/>
  <c r="K155" i="41" s="1"/>
  <c r="J188" i="80"/>
  <c r="J33" i="41"/>
  <c r="J154" i="41" s="1"/>
  <c r="M34" i="41"/>
  <c r="M155" i="41" s="1"/>
  <c r="M189" i="80"/>
  <c r="M92" i="22"/>
  <c r="M17" i="111" s="1"/>
  <c r="J33" i="53"/>
  <c r="J58" i="80"/>
  <c r="J31" i="41"/>
  <c r="J92" i="22"/>
  <c r="J17" i="111" s="1"/>
  <c r="Q28" i="111"/>
  <c r="Q34" i="111" s="1"/>
  <c r="Q27" i="111"/>
  <c r="P29" i="41"/>
  <c r="P56" i="80"/>
  <c r="P31" i="53"/>
  <c r="M33" i="41"/>
  <c r="M154" i="41" s="1"/>
  <c r="M188" i="80"/>
  <c r="Q32" i="53"/>
  <c r="Q30" i="41"/>
  <c r="Q57" i="80"/>
  <c r="P18" i="74"/>
  <c r="P32" i="41"/>
  <c r="P153" i="41" s="1"/>
  <c r="P16" i="111"/>
  <c r="K92" i="22"/>
  <c r="K17" i="111" s="1"/>
  <c r="K58" i="80"/>
  <c r="K31" i="41"/>
  <c r="K33" i="53"/>
  <c r="L92"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M83" i="41"/>
  <c r="AC103" i="41" s="1"/>
  <c r="N82" i="41"/>
  <c r="N103" i="41" s="1"/>
  <c r="K83" i="41"/>
  <c r="AA103" i="41" s="1"/>
  <c r="K59" i="80" l="1"/>
  <c r="K200" i="80" s="1"/>
  <c r="K20" i="74" s="1"/>
  <c r="L59" i="80"/>
  <c r="L200" i="80" s="1"/>
  <c r="J34" i="80" a="1"/>
  <c r="Y38" i="80" s="1"/>
  <c r="R93" i="72" a="1"/>
  <c r="J55" i="83" a="1"/>
  <c r="L58" i="83" s="1"/>
  <c r="J80" i="73" a="1"/>
  <c r="L28" i="111"/>
  <c r="L34" i="111" s="1"/>
  <c r="K34" i="53"/>
  <c r="L191" i="80"/>
  <c r="L192" i="80" s="1"/>
  <c r="P59" i="80"/>
  <c r="P200" i="80" s="1"/>
  <c r="P20" i="74" s="1"/>
  <c r="L34" i="53"/>
  <c r="J83" i="41"/>
  <c r="Z103" i="41" s="1"/>
  <c r="M59" i="80"/>
  <c r="N129" i="74"/>
  <c r="N133" i="74" s="1"/>
  <c r="N84" i="41"/>
  <c r="AT103" i="41" s="1"/>
  <c r="M27" i="111"/>
  <c r="M33" i="111" s="1"/>
  <c r="J84" i="41"/>
  <c r="AP103" i="41" s="1"/>
  <c r="M129" i="74"/>
  <c r="M132" i="74" s="1"/>
  <c r="Q83" i="41"/>
  <c r="AG103" i="41" s="1"/>
  <c r="M34" i="80"/>
  <c r="Q34" i="80"/>
  <c r="U34" i="80"/>
  <c r="U105" i="80" s="1"/>
  <c r="Y34" i="80"/>
  <c r="U35" i="80"/>
  <c r="Y35" i="80"/>
  <c r="M36" i="80"/>
  <c r="Q36" i="80"/>
  <c r="Y36" i="80"/>
  <c r="Q37" i="80"/>
  <c r="U37" i="80"/>
  <c r="U131" i="80" s="1"/>
  <c r="Y37" i="80"/>
  <c r="Q38" i="80"/>
  <c r="U38" i="80"/>
  <c r="U86" i="80" s="1"/>
  <c r="Q39" i="80"/>
  <c r="Y39" i="80"/>
  <c r="U40" i="80"/>
  <c r="U88" i="80" s="1"/>
  <c r="Y40" i="80"/>
  <c r="U41" i="80"/>
  <c r="U89" i="80" s="1"/>
  <c r="M42" i="80"/>
  <c r="Y42" i="80"/>
  <c r="J34" i="80"/>
  <c r="N34" i="80"/>
  <c r="R34" i="80"/>
  <c r="V34" i="80"/>
  <c r="J35" i="80"/>
  <c r="N35" i="80"/>
  <c r="R35" i="80"/>
  <c r="J36" i="80"/>
  <c r="N36" i="80"/>
  <c r="V36" i="80"/>
  <c r="J37" i="80"/>
  <c r="N37" i="80"/>
  <c r="V37" i="80"/>
  <c r="N38" i="80"/>
  <c r="R38" i="80"/>
  <c r="V38" i="80"/>
  <c r="J39" i="80"/>
  <c r="V39" i="80"/>
  <c r="J40" i="80"/>
  <c r="N40" i="80"/>
  <c r="R40" i="80"/>
  <c r="V40" i="80"/>
  <c r="R41" i="80"/>
  <c r="J42" i="80"/>
  <c r="V42" i="80"/>
  <c r="K34" i="80"/>
  <c r="O34" i="80"/>
  <c r="S34" i="80"/>
  <c r="W34" i="80"/>
  <c r="K35" i="80"/>
  <c r="O35" i="80"/>
  <c r="S35" i="80"/>
  <c r="W35" i="80"/>
  <c r="W106" i="80" s="1"/>
  <c r="K36" i="80"/>
  <c r="O36" i="80"/>
  <c r="S36" i="80"/>
  <c r="W36" i="80"/>
  <c r="K37" i="80"/>
  <c r="O37" i="80"/>
  <c r="S37" i="80"/>
  <c r="W37" i="80"/>
  <c r="W131" i="80" s="1"/>
  <c r="O38" i="80"/>
  <c r="S38" i="80"/>
  <c r="W38" i="80"/>
  <c r="W132" i="80" s="1"/>
  <c r="K39" i="80"/>
  <c r="O39" i="80"/>
  <c r="W39" i="80"/>
  <c r="K40" i="80"/>
  <c r="O40" i="80"/>
  <c r="S40" i="80"/>
  <c r="W40" i="80"/>
  <c r="W111" i="80" s="1"/>
  <c r="O41" i="80"/>
  <c r="S41" i="80"/>
  <c r="W41" i="80"/>
  <c r="W135" i="80" s="1"/>
  <c r="K42" i="80"/>
  <c r="K202" i="80" s="1"/>
  <c r="K206" i="80" s="1"/>
  <c r="O42" i="80"/>
  <c r="O202" i="80" s="1"/>
  <c r="W42" i="80"/>
  <c r="W113" i="80" s="1"/>
  <c r="L34" i="80"/>
  <c r="P34" i="80"/>
  <c r="T34" i="80"/>
  <c r="T35" i="80"/>
  <c r="T36" i="80"/>
  <c r="T37" i="80"/>
  <c r="T38" i="80"/>
  <c r="T39" i="80"/>
  <c r="T40" i="80"/>
  <c r="T41" i="80"/>
  <c r="X34" i="80"/>
  <c r="X35" i="80"/>
  <c r="X36" i="80"/>
  <c r="X37" i="80"/>
  <c r="X85" i="80" s="1"/>
  <c r="X38" i="80"/>
  <c r="X132" i="80" s="1"/>
  <c r="X40" i="80"/>
  <c r="X41" i="80"/>
  <c r="X42" i="80"/>
  <c r="L35" i="80"/>
  <c r="L36" i="80"/>
  <c r="L37" i="80"/>
  <c r="L38" i="80"/>
  <c r="L39" i="80"/>
  <c r="L40" i="80"/>
  <c r="L41" i="80"/>
  <c r="L42" i="80"/>
  <c r="P35" i="80"/>
  <c r="P36" i="80"/>
  <c r="P37" i="80"/>
  <c r="P38" i="80"/>
  <c r="P39" i="80"/>
  <c r="P40" i="80"/>
  <c r="P42" i="80"/>
  <c r="Q33" i="111"/>
  <c r="N83" i="41"/>
  <c r="AD103" i="41" s="1"/>
  <c r="Q59" i="80"/>
  <c r="Q200" i="80" s="1"/>
  <c r="Q20" i="74" s="1"/>
  <c r="Q84" i="41"/>
  <c r="AW103" i="41" s="1"/>
  <c r="J59" i="80"/>
  <c r="J200" i="80" s="1"/>
  <c r="L62" i="83"/>
  <c r="K64" i="83"/>
  <c r="K57" i="83"/>
  <c r="J61" i="83"/>
  <c r="J55" i="83"/>
  <c r="J123" i="83" s="1"/>
  <c r="M59" i="83"/>
  <c r="X62" i="83"/>
  <c r="X56" i="83"/>
  <c r="W60" i="83"/>
  <c r="V64" i="83"/>
  <c r="V58" i="83"/>
  <c r="Y62" i="83"/>
  <c r="Y56" i="83"/>
  <c r="Y124" i="83" s="1"/>
  <c r="T56" i="83"/>
  <c r="T124" i="83" s="1"/>
  <c r="S56" i="83"/>
  <c r="S124" i="83" s="1"/>
  <c r="R63" i="83"/>
  <c r="U64" i="83"/>
  <c r="U62" i="83"/>
  <c r="T57" i="83"/>
  <c r="S63" i="83"/>
  <c r="U63" i="83"/>
  <c r="U59" i="83"/>
  <c r="O61" i="83"/>
  <c r="O57" i="83"/>
  <c r="Q57" i="83"/>
  <c r="P64" i="83"/>
  <c r="O64" i="83"/>
  <c r="O62" i="83"/>
  <c r="N61" i="83"/>
  <c r="N59" i="83"/>
  <c r="Q60" i="83"/>
  <c r="Q58" i="83"/>
  <c r="S61" i="83"/>
  <c r="S57" i="83"/>
  <c r="U57" i="83"/>
  <c r="P63" i="83"/>
  <c r="O63" i="83"/>
  <c r="N64" i="83"/>
  <c r="N60" i="83"/>
  <c r="Q61" i="83"/>
  <c r="R93" i="72"/>
  <c r="U98" i="72"/>
  <c r="U100" i="72"/>
  <c r="U102" i="72"/>
  <c r="U99" i="72"/>
  <c r="Y101" i="72"/>
  <c r="U97" i="72"/>
  <c r="Y99" i="72"/>
  <c r="Y102" i="72"/>
  <c r="Y97" i="72"/>
  <c r="Y100" i="72"/>
  <c r="Y98" i="72"/>
  <c r="U101" i="72"/>
  <c r="Y95" i="72"/>
  <c r="X101" i="72"/>
  <c r="T98" i="72"/>
  <c r="T94" i="72"/>
  <c r="W102" i="72"/>
  <c r="W100" i="72"/>
  <c r="W98" i="72"/>
  <c r="W96" i="72"/>
  <c r="W94" i="72"/>
  <c r="U96" i="72"/>
  <c r="T102" i="72"/>
  <c r="X97" i="72"/>
  <c r="X93" i="72"/>
  <c r="R102" i="72"/>
  <c r="R100" i="72"/>
  <c r="R98" i="72"/>
  <c r="R96" i="72"/>
  <c r="R94" i="72"/>
  <c r="Y93" i="72"/>
  <c r="T99" i="72"/>
  <c r="T93" i="72"/>
  <c r="W101" i="72"/>
  <c r="S99" i="72"/>
  <c r="S96" i="72"/>
  <c r="W93" i="72"/>
  <c r="U93" i="72"/>
  <c r="X96" i="72"/>
  <c r="R101" i="72"/>
  <c r="V98" i="72"/>
  <c r="V95" i="72"/>
  <c r="Y96" i="72"/>
  <c r="X102" i="72"/>
  <c r="T97" i="72"/>
  <c r="S101" i="72"/>
  <c r="S98" i="72"/>
  <c r="W95" i="72"/>
  <c r="S93" i="72"/>
  <c r="X100" i="72"/>
  <c r="X95" i="72"/>
  <c r="V100" i="72"/>
  <c r="V97" i="72"/>
  <c r="R95" i="72"/>
  <c r="T96" i="72"/>
  <c r="W97" i="72"/>
  <c r="U95" i="72"/>
  <c r="X94" i="72"/>
  <c r="V99" i="72"/>
  <c r="V94" i="72"/>
  <c r="T101" i="72"/>
  <c r="S100" i="72"/>
  <c r="R97" i="72"/>
  <c r="T100" i="72"/>
  <c r="S94" i="72"/>
  <c r="V96" i="72"/>
  <c r="Y94" i="72"/>
  <c r="T95" i="72"/>
  <c r="S102" i="72"/>
  <c r="S97" i="72"/>
  <c r="U94" i="72"/>
  <c r="R99" i="72"/>
  <c r="V93" i="72"/>
  <c r="S95" i="72"/>
  <c r="X99" i="72"/>
  <c r="V102" i="72"/>
  <c r="W99" i="72"/>
  <c r="X98" i="72"/>
  <c r="V101" i="72"/>
  <c r="J83" i="73"/>
  <c r="J86" i="73"/>
  <c r="J87" i="73"/>
  <c r="V88" i="73"/>
  <c r="V81" i="73"/>
  <c r="R89" i="73"/>
  <c r="V82" i="73"/>
  <c r="M86" i="73"/>
  <c r="M85" i="73"/>
  <c r="Y83" i="73"/>
  <c r="Y80" i="73"/>
  <c r="W89" i="73"/>
  <c r="W81" i="73"/>
  <c r="X88" i="73"/>
  <c r="X87" i="73"/>
  <c r="R80" i="73"/>
  <c r="U84" i="73"/>
  <c r="Q83" i="73"/>
  <c r="U80" i="73"/>
  <c r="S82" i="73"/>
  <c r="T88" i="73"/>
  <c r="P87" i="73"/>
  <c r="Q81" i="73"/>
  <c r="O83" i="73"/>
  <c r="S80" i="73"/>
  <c r="M83" i="73"/>
  <c r="K89" i="73"/>
  <c r="S87" i="73"/>
  <c r="L83" i="73"/>
  <c r="T81" i="73"/>
  <c r="K82" i="73"/>
  <c r="L84" i="73"/>
  <c r="P81" i="73"/>
  <c r="Q82" i="73"/>
  <c r="O84" i="73"/>
  <c r="U83" i="73"/>
  <c r="K83" i="73"/>
  <c r="P82" i="73"/>
  <c r="O59" i="80"/>
  <c r="O200" i="80" s="1"/>
  <c r="O20" i="74" s="1"/>
  <c r="N59" i="80"/>
  <c r="H56" i="73"/>
  <c r="H53" i="73"/>
  <c r="H55" i="73"/>
  <c r="H59" i="73"/>
  <c r="H58" i="73"/>
  <c r="H60" i="73"/>
  <c r="H54" i="73"/>
  <c r="H57" i="73"/>
  <c r="H56" i="72"/>
  <c r="H55" i="72"/>
  <c r="H51" i="72"/>
  <c r="H53" i="72"/>
  <c r="H58" i="72"/>
  <c r="H52" i="72"/>
  <c r="H54" i="72"/>
  <c r="H57" i="72"/>
  <c r="H22" i="83"/>
  <c r="H23" i="83"/>
  <c r="H27" i="83"/>
  <c r="H26" i="83"/>
  <c r="H21" i="83"/>
  <c r="H25" i="83"/>
  <c r="H20" i="83"/>
  <c r="H24" i="83"/>
  <c r="P20" i="31"/>
  <c r="O21" i="31"/>
  <c r="O23" i="31" s="1"/>
  <c r="K255" i="80"/>
  <c r="K258" i="80"/>
  <c r="K252" i="80"/>
  <c r="K259" i="80"/>
  <c r="K257" i="80"/>
  <c r="K253" i="80"/>
  <c r="K256" i="80"/>
  <c r="K254" i="80"/>
  <c r="P27" i="111"/>
  <c r="P33" i="111" s="1"/>
  <c r="P28" i="111"/>
  <c r="P34" i="111" s="1"/>
  <c r="P34" i="53"/>
  <c r="J34" i="53"/>
  <c r="L20" i="74"/>
  <c r="N28" i="111"/>
  <c r="N34" i="111" s="1"/>
  <c r="N27" i="111"/>
  <c r="N33" i="111" s="1"/>
  <c r="K28" i="111"/>
  <c r="K34" i="111" s="1"/>
  <c r="K27" i="111"/>
  <c r="K33" i="111" s="1"/>
  <c r="O34" i="53"/>
  <c r="O27" i="111"/>
  <c r="O33" i="111" s="1"/>
  <c r="O28" i="111"/>
  <c r="O34" i="111" s="1"/>
  <c r="N34" i="53"/>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128" i="80" s="1"/>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P129" i="74"/>
  <c r="O129" i="74"/>
  <c r="L83" i="41"/>
  <c r="AB103" i="41" s="1"/>
  <c r="P84" i="41"/>
  <c r="AV103" i="41" s="1"/>
  <c r="K129" i="74"/>
  <c r="P83" i="41"/>
  <c r="AF103" i="41" s="1"/>
  <c r="L82" i="41"/>
  <c r="L103" i="41" s="1"/>
  <c r="K84" i="41"/>
  <c r="AQ103" i="41" s="1"/>
  <c r="K82" i="41"/>
  <c r="K103" i="41" s="1"/>
  <c r="T129" i="74"/>
  <c r="Q129" i="74"/>
  <c r="U129" i="74"/>
  <c r="X129" i="74"/>
  <c r="W129" i="74"/>
  <c r="V129" i="74"/>
  <c r="S129" i="74"/>
  <c r="Y129" i="74"/>
  <c r="R129" i="74"/>
  <c r="J129" i="74"/>
  <c r="O84" i="41"/>
  <c r="AU103" i="41" s="1"/>
  <c r="L129" i="74"/>
  <c r="S56" i="41"/>
  <c r="O83" i="41"/>
  <c r="AE103" i="41" s="1"/>
  <c r="P82" i="41"/>
  <c r="P103" i="41" s="1"/>
  <c r="O82" i="41"/>
  <c r="O103" i="41" s="1"/>
  <c r="H140" i="22" a="1"/>
  <c r="H140" i="22" s="1"/>
  <c r="L204" i="80" l="1"/>
  <c r="J84" i="73"/>
  <c r="N81" i="73"/>
  <c r="N86" i="73"/>
  <c r="R86" i="73"/>
  <c r="V86" i="73"/>
  <c r="N87" i="73"/>
  <c r="M88" i="73"/>
  <c r="Y88" i="73"/>
  <c r="Y82" i="73"/>
  <c r="W86" i="73"/>
  <c r="W80" i="73"/>
  <c r="X84" i="73"/>
  <c r="U88" i="73"/>
  <c r="O89" i="73"/>
  <c r="O81" i="73"/>
  <c r="P83" i="73"/>
  <c r="S88" i="73"/>
  <c r="T82" i="73"/>
  <c r="U81" i="73"/>
  <c r="S83" i="73"/>
  <c r="T85" i="73"/>
  <c r="U85" i="73"/>
  <c r="P89" i="73"/>
  <c r="K87" i="73"/>
  <c r="L89" i="73"/>
  <c r="Q87" i="73"/>
  <c r="O88" i="73"/>
  <c r="J85" i="73"/>
  <c r="N82" i="73"/>
  <c r="R87" i="73"/>
  <c r="V87" i="73"/>
  <c r="N88" i="73"/>
  <c r="R88" i="73"/>
  <c r="M87" i="73"/>
  <c r="Y87" i="73"/>
  <c r="Y81" i="73"/>
  <c r="W85" i="73"/>
  <c r="X89" i="73"/>
  <c r="X83" i="73"/>
  <c r="U86" i="73"/>
  <c r="K88" i="73"/>
  <c r="K80" i="73"/>
  <c r="L82" i="73"/>
  <c r="K86" i="73"/>
  <c r="N80" i="73"/>
  <c r="Q80" i="73"/>
  <c r="O82" i="73"/>
  <c r="P84" i="73"/>
  <c r="U82" i="73"/>
  <c r="T86" i="73"/>
  <c r="S81" i="73"/>
  <c r="T83" i="73"/>
  <c r="M81" i="73"/>
  <c r="J82" i="73"/>
  <c r="J88" i="73"/>
  <c r="R83" i="73"/>
  <c r="V83" i="73"/>
  <c r="N84" i="73"/>
  <c r="R84" i="73"/>
  <c r="J80" i="73"/>
  <c r="V80" i="73"/>
  <c r="Y84" i="73"/>
  <c r="W88" i="73"/>
  <c r="W82" i="73"/>
  <c r="X86" i="73"/>
  <c r="X80" i="73"/>
  <c r="M82" i="73"/>
  <c r="K84" i="73"/>
  <c r="L86" i="73"/>
  <c r="M84" i="73"/>
  <c r="L88" i="73"/>
  <c r="Q84" i="73"/>
  <c r="O86" i="73"/>
  <c r="P88" i="73"/>
  <c r="P80" i="73"/>
  <c r="S84" i="73"/>
  <c r="Q89" i="73"/>
  <c r="Q85" i="73"/>
  <c r="T87" i="73"/>
  <c r="L85" i="73"/>
  <c r="O80" i="73"/>
  <c r="L81" i="73"/>
  <c r="O87" i="73"/>
  <c r="T89" i="73"/>
  <c r="Q86" i="73"/>
  <c r="U87" i="73"/>
  <c r="O85" i="73"/>
  <c r="X81" i="73"/>
  <c r="W83" i="73"/>
  <c r="Y85" i="73"/>
  <c r="J81" i="73"/>
  <c r="R82" i="73"/>
  <c r="R81" i="73"/>
  <c r="L80" i="73"/>
  <c r="S89" i="73"/>
  <c r="L87" i="73"/>
  <c r="M89" i="73"/>
  <c r="R85" i="73"/>
  <c r="V84" i="73"/>
  <c r="S85" i="73"/>
  <c r="P86" i="73"/>
  <c r="M80" i="73"/>
  <c r="K81" i="73"/>
  <c r="Q88" i="73"/>
  <c r="T80" i="73"/>
  <c r="S86" i="73"/>
  <c r="X82" i="73"/>
  <c r="W84" i="73"/>
  <c r="Y86" i="73"/>
  <c r="V89" i="73"/>
  <c r="N89" i="73"/>
  <c r="N83" i="73"/>
  <c r="U89" i="73"/>
  <c r="K85" i="73"/>
  <c r="P85" i="73"/>
  <c r="T84" i="73"/>
  <c r="X85" i="73"/>
  <c r="W87" i="73"/>
  <c r="Y89" i="73"/>
  <c r="V85" i="73"/>
  <c r="N85" i="73"/>
  <c r="J89" i="73"/>
  <c r="R60" i="83"/>
  <c r="T63" i="83"/>
  <c r="T189" i="83" s="1"/>
  <c r="T60" i="71" s="1"/>
  <c r="N55" i="83"/>
  <c r="N123" i="83" s="1"/>
  <c r="O58" i="83"/>
  <c r="O126" i="83" s="1"/>
  <c r="O126" i="72" s="1"/>
  <c r="O196" i="72" s="1"/>
  <c r="O226" i="72" s="1"/>
  <c r="P60" i="83"/>
  <c r="N58" i="83"/>
  <c r="P61" i="83"/>
  <c r="S55" i="83"/>
  <c r="S123" i="83" s="1"/>
  <c r="U58" i="83"/>
  <c r="R59" i="83"/>
  <c r="R127" i="83" s="1"/>
  <c r="S62" i="83"/>
  <c r="T64" i="83"/>
  <c r="Y60" i="83"/>
  <c r="Y215" i="83" s="1"/>
  <c r="Y87" i="71" s="1"/>
  <c r="V56" i="83"/>
  <c r="V124" i="83" s="1"/>
  <c r="V62" i="83"/>
  <c r="W58" i="83"/>
  <c r="W184" i="83" s="1"/>
  <c r="W55" i="71" s="1"/>
  <c r="W64" i="83"/>
  <c r="X60" i="83"/>
  <c r="M57" i="83"/>
  <c r="M63" i="83"/>
  <c r="M131" i="83" s="1"/>
  <c r="M131" i="72" s="1"/>
  <c r="J59" i="83"/>
  <c r="K55" i="83"/>
  <c r="K123" i="83" s="1"/>
  <c r="K62" i="83"/>
  <c r="L60" i="83"/>
  <c r="N56" i="83"/>
  <c r="N124" i="83" s="1"/>
  <c r="P57" i="83"/>
  <c r="P125" i="83" s="1"/>
  <c r="P125" i="72" s="1"/>
  <c r="P195" i="72" s="1"/>
  <c r="P225" i="72" s="1"/>
  <c r="R64" i="83"/>
  <c r="Q56" i="83"/>
  <c r="Q124" i="83" s="1"/>
  <c r="N57" i="83"/>
  <c r="O60" i="83"/>
  <c r="P62" i="83"/>
  <c r="P130" i="83" s="1"/>
  <c r="P130" i="72" s="1"/>
  <c r="P200" i="72" s="1"/>
  <c r="P230" i="72" s="1"/>
  <c r="N62" i="83"/>
  <c r="N130" i="83" s="1"/>
  <c r="N130" i="72" s="1"/>
  <c r="U55" i="83"/>
  <c r="U152" i="83" s="1"/>
  <c r="U22" i="71" s="1"/>
  <c r="U127" i="71" s="1"/>
  <c r="S59" i="83"/>
  <c r="U60" i="83"/>
  <c r="R61" i="83"/>
  <c r="S64" i="83"/>
  <c r="Y55" i="83"/>
  <c r="Y123" i="83" s="1"/>
  <c r="Y61" i="83"/>
  <c r="V57" i="83"/>
  <c r="V183" i="83" s="1"/>
  <c r="V54" i="71" s="1"/>
  <c r="V63" i="83"/>
  <c r="W59" i="83"/>
  <c r="X55" i="83"/>
  <c r="X152" i="83" s="1"/>
  <c r="X61" i="83"/>
  <c r="X187" i="83" s="1"/>
  <c r="X58" i="71" s="1"/>
  <c r="M58" i="83"/>
  <c r="M64" i="83"/>
  <c r="J60" i="83"/>
  <c r="K56" i="83"/>
  <c r="K124" i="83" s="1"/>
  <c r="K63" i="83"/>
  <c r="L61" i="83"/>
  <c r="L129" i="83" s="1"/>
  <c r="L129" i="72" s="1"/>
  <c r="N41" i="80"/>
  <c r="N39" i="80"/>
  <c r="R37" i="80"/>
  <c r="V35" i="80"/>
  <c r="Q41" i="80"/>
  <c r="M39" i="80"/>
  <c r="M37" i="80"/>
  <c r="Q35" i="80"/>
  <c r="O55" i="83"/>
  <c r="O123" i="83" s="1"/>
  <c r="U61" i="83"/>
  <c r="T55" i="83"/>
  <c r="T123" i="83" s="1"/>
  <c r="Q62" i="83"/>
  <c r="N63" i="83"/>
  <c r="P56" i="83"/>
  <c r="P124" i="83" s="1"/>
  <c r="Q59" i="83"/>
  <c r="P55" i="83"/>
  <c r="P123" i="83" s="1"/>
  <c r="R58" i="83"/>
  <c r="T61" i="83"/>
  <c r="T216" i="83" s="1"/>
  <c r="T88" i="71" s="1"/>
  <c r="R55" i="83"/>
  <c r="R123" i="83" s="1"/>
  <c r="S58" i="83"/>
  <c r="T60" i="83"/>
  <c r="Y58" i="83"/>
  <c r="Y64" i="83"/>
  <c r="V60" i="83"/>
  <c r="V186" i="83" s="1"/>
  <c r="V57" i="71" s="1"/>
  <c r="W56" i="83"/>
  <c r="W62" i="83"/>
  <c r="W159" i="83" s="1"/>
  <c r="W29" i="71" s="1"/>
  <c r="X58" i="83"/>
  <c r="X64" i="83"/>
  <c r="M61" i="83"/>
  <c r="M129" i="83" s="1"/>
  <c r="M129" i="72" s="1"/>
  <c r="J57" i="83"/>
  <c r="J125" i="83" s="1"/>
  <c r="J125" i="72" s="1"/>
  <c r="J195" i="72" s="1"/>
  <c r="J225" i="72" s="1"/>
  <c r="J63" i="83"/>
  <c r="K59" i="83"/>
  <c r="K127" i="83" s="1"/>
  <c r="K127" i="72" s="1"/>
  <c r="L56" i="83"/>
  <c r="L124" i="83" s="1"/>
  <c r="L64" i="83"/>
  <c r="N42" i="80"/>
  <c r="N202" i="80" s="1"/>
  <c r="Q42" i="80"/>
  <c r="Q202" i="80" s="1"/>
  <c r="M40" i="80"/>
  <c r="T58" i="83"/>
  <c r="T184" i="83" s="1"/>
  <c r="T55" i="71" s="1"/>
  <c r="Y57" i="83"/>
  <c r="Y63" i="83"/>
  <c r="V59" i="83"/>
  <c r="V156" i="83" s="1"/>
  <c r="V26" i="71" s="1"/>
  <c r="W55" i="83"/>
  <c r="W210" i="83" s="1"/>
  <c r="W82" i="71" s="1"/>
  <c r="W61" i="83"/>
  <c r="X57" i="83"/>
  <c r="X183" i="83" s="1"/>
  <c r="X54" i="71" s="1"/>
  <c r="X63" i="83"/>
  <c r="M60" i="83"/>
  <c r="J56" i="83"/>
  <c r="J124" i="83" s="1"/>
  <c r="J62" i="83"/>
  <c r="K58" i="83"/>
  <c r="L55" i="83"/>
  <c r="L123" i="83" s="1"/>
  <c r="L63" i="83"/>
  <c r="Q55" i="83"/>
  <c r="Q123" i="83" s="1"/>
  <c r="O59" i="83"/>
  <c r="R56" i="83"/>
  <c r="R124" i="83" s="1"/>
  <c r="T59" i="83"/>
  <c r="Q64" i="83"/>
  <c r="Q132" i="83" s="1"/>
  <c r="Q132" i="72" s="1"/>
  <c r="Q202" i="72" s="1"/>
  <c r="Q232" i="72" s="1"/>
  <c r="O56" i="83"/>
  <c r="O124" i="83" s="1"/>
  <c r="P58" i="83"/>
  <c r="Q63" i="83"/>
  <c r="Q131" i="83" s="1"/>
  <c r="Q131" i="72" s="1"/>
  <c r="Q201" i="72" s="1"/>
  <c r="Q231" i="72" s="1"/>
  <c r="P59" i="83"/>
  <c r="P127" i="83" s="1"/>
  <c r="P127" i="72" s="1"/>
  <c r="P197" i="72" s="1"/>
  <c r="P227" i="72" s="1"/>
  <c r="R62" i="83"/>
  <c r="U56" i="83"/>
  <c r="U153" i="83" s="1"/>
  <c r="U23" i="71" s="1"/>
  <c r="R57" i="83"/>
  <c r="S60" i="83"/>
  <c r="T62" i="83"/>
  <c r="Y59" i="83"/>
  <c r="Y127" i="83" s="1"/>
  <c r="V55" i="83"/>
  <c r="V123" i="83" s="1"/>
  <c r="V61" i="83"/>
  <c r="V158" i="83" s="1"/>
  <c r="V28" i="71" s="1"/>
  <c r="W57" i="83"/>
  <c r="W63" i="83"/>
  <c r="X59" i="83"/>
  <c r="X214" i="83" s="1"/>
  <c r="X86" i="71" s="1"/>
  <c r="M56" i="83"/>
  <c r="M124" i="83" s="1"/>
  <c r="M62" i="83"/>
  <c r="J58" i="83"/>
  <c r="J64" i="83"/>
  <c r="K60" i="83"/>
  <c r="L59" i="83"/>
  <c r="L127" i="83" s="1"/>
  <c r="L127" i="72" s="1"/>
  <c r="K61" i="83"/>
  <c r="P41" i="80"/>
  <c r="X39" i="80"/>
  <c r="X133" i="80" s="1"/>
  <c r="T42" i="80"/>
  <c r="T113" i="80" s="1"/>
  <c r="S42" i="80"/>
  <c r="K41" i="80"/>
  <c r="S39" i="80"/>
  <c r="K38" i="80"/>
  <c r="R42" i="80"/>
  <c r="R202" i="80" s="1"/>
  <c r="J41" i="80"/>
  <c r="R39" i="80"/>
  <c r="J38" i="80"/>
  <c r="R36" i="80"/>
  <c r="U42" i="80"/>
  <c r="U113" i="80" s="1"/>
  <c r="M41" i="80"/>
  <c r="U39" i="80"/>
  <c r="U87" i="80" s="1"/>
  <c r="M38" i="80"/>
  <c r="U36" i="80"/>
  <c r="U130" i="80" s="1"/>
  <c r="M35" i="80"/>
  <c r="V41" i="80"/>
  <c r="Y41" i="80"/>
  <c r="Q40" i="80"/>
  <c r="L57" i="83"/>
  <c r="M55" i="83"/>
  <c r="M123" i="83" s="1"/>
  <c r="T82" i="80"/>
  <c r="T105" i="80"/>
  <c r="U112" i="80"/>
  <c r="U134" i="80"/>
  <c r="T132" i="80"/>
  <c r="U84" i="80"/>
  <c r="U128" i="80"/>
  <c r="T109" i="80"/>
  <c r="U135" i="80"/>
  <c r="T86" i="80"/>
  <c r="P204" i="80"/>
  <c r="M200" i="80"/>
  <c r="M20" i="74" s="1"/>
  <c r="K69" i="53"/>
  <c r="K71" i="53"/>
  <c r="K73" i="53" s="1"/>
  <c r="U111" i="80"/>
  <c r="U190" i="83"/>
  <c r="U61" i="71" s="1"/>
  <c r="Y181" i="83"/>
  <c r="Y52" i="71" s="1"/>
  <c r="U132" i="80"/>
  <c r="U85" i="80"/>
  <c r="V210" i="83"/>
  <c r="V82" i="71" s="1"/>
  <c r="Y130" i="80"/>
  <c r="Y128" i="80"/>
  <c r="T153" i="83"/>
  <c r="T23" i="71" s="1"/>
  <c r="M133" i="74"/>
  <c r="N132" i="74"/>
  <c r="M44" i="53"/>
  <c r="M50" i="53" s="1"/>
  <c r="M69" i="53"/>
  <c r="J43" i="53"/>
  <c r="J49" i="53" s="1"/>
  <c r="J69" i="53"/>
  <c r="J71" i="53"/>
  <c r="J73" i="53" s="1"/>
  <c r="L69" i="53"/>
  <c r="L71" i="53"/>
  <c r="L73" i="53" s="1"/>
  <c r="P50" i="53"/>
  <c r="P49" i="53"/>
  <c r="P48" i="53"/>
  <c r="P54" i="53" s="1"/>
  <c r="P93" i="53" s="1"/>
  <c r="N48" i="53"/>
  <c r="N54" i="53" s="1"/>
  <c r="N93" i="53" s="1"/>
  <c r="N50" i="53"/>
  <c r="N49" i="53"/>
  <c r="O50" i="53"/>
  <c r="O49" i="53"/>
  <c r="O48" i="53"/>
  <c r="O54" i="53" s="1"/>
  <c r="O93" i="53" s="1"/>
  <c r="Q50" i="53"/>
  <c r="Q49" i="53"/>
  <c r="Q48" i="53"/>
  <c r="Q54" i="53" s="1"/>
  <c r="Q93" i="53" s="1"/>
  <c r="L43" i="53"/>
  <c r="L49" i="53" s="1"/>
  <c r="K44" i="53"/>
  <c r="K50" i="53" s="1"/>
  <c r="M43" i="53"/>
  <c r="M49" i="53" s="1"/>
  <c r="K43" i="53"/>
  <c r="K49" i="53" s="1"/>
  <c r="L42" i="53"/>
  <c r="L48" i="53" s="1"/>
  <c r="L54" i="53" s="1"/>
  <c r="J42" i="53"/>
  <c r="J48" i="53" s="1"/>
  <c r="J54" i="53" s="1"/>
  <c r="K42" i="53"/>
  <c r="K48" i="53" s="1"/>
  <c r="K54" i="53" s="1"/>
  <c r="L44" i="53"/>
  <c r="L50" i="53" s="1"/>
  <c r="J44" i="53"/>
  <c r="J50" i="53" s="1"/>
  <c r="M42" i="53"/>
  <c r="M48" i="53" s="1"/>
  <c r="T88" i="80"/>
  <c r="T134" i="80"/>
  <c r="T107" i="80"/>
  <c r="T84" i="80"/>
  <c r="J204" i="80"/>
  <c r="T130" i="80"/>
  <c r="T111" i="80"/>
  <c r="U186" i="83"/>
  <c r="U57" i="71" s="1"/>
  <c r="T154" i="83"/>
  <c r="T24" i="71" s="1"/>
  <c r="T188" i="83"/>
  <c r="T59" i="71" s="1"/>
  <c r="W109" i="80"/>
  <c r="V86" i="80"/>
  <c r="V82" i="80"/>
  <c r="Y133" i="80"/>
  <c r="Y90" i="80"/>
  <c r="T129" i="80"/>
  <c r="V133" i="80"/>
  <c r="V84" i="80"/>
  <c r="V134" i="80"/>
  <c r="Y86" i="80"/>
  <c r="Y135" i="80"/>
  <c r="Y89" i="80"/>
  <c r="W134" i="80"/>
  <c r="Y113" i="80"/>
  <c r="T133" i="80"/>
  <c r="V128" i="80"/>
  <c r="T83" i="80"/>
  <c r="V110" i="80"/>
  <c r="V109" i="80"/>
  <c r="Y111" i="80"/>
  <c r="Y107" i="80"/>
  <c r="Y110" i="80"/>
  <c r="V108" i="80"/>
  <c r="V129" i="80"/>
  <c r="V83" i="80"/>
  <c r="Y82" i="80"/>
  <c r="T110" i="80"/>
  <c r="V112" i="80"/>
  <c r="V90" i="80"/>
  <c r="V136" i="80"/>
  <c r="P202" i="80"/>
  <c r="W88" i="80"/>
  <c r="Y106" i="80"/>
  <c r="Y88" i="80"/>
  <c r="T190" i="83"/>
  <c r="T61" i="71" s="1"/>
  <c r="V130" i="80"/>
  <c r="V113" i="80"/>
  <c r="Y87" i="80"/>
  <c r="Y85" i="80"/>
  <c r="Y136" i="80"/>
  <c r="Y112" i="80"/>
  <c r="V135" i="80"/>
  <c r="Y188" i="83"/>
  <c r="Y59" i="71" s="1"/>
  <c r="Y108" i="80"/>
  <c r="Y109" i="80"/>
  <c r="Y105" i="80"/>
  <c r="L202" i="80"/>
  <c r="L206" i="80" s="1"/>
  <c r="W108" i="80"/>
  <c r="Y134" i="80"/>
  <c r="Y84" i="80"/>
  <c r="V211" i="83"/>
  <c r="V83" i="71" s="1"/>
  <c r="T211" i="83"/>
  <c r="T83" i="71" s="1"/>
  <c r="V111" i="80"/>
  <c r="V87" i="80"/>
  <c r="Y132" i="80"/>
  <c r="Y83" i="80"/>
  <c r="Y131" i="80"/>
  <c r="Y129" i="80"/>
  <c r="T87" i="80"/>
  <c r="T106" i="80"/>
  <c r="V88" i="80"/>
  <c r="V85" i="80"/>
  <c r="V106" i="80"/>
  <c r="V105" i="80"/>
  <c r="V132" i="80"/>
  <c r="V89" i="80"/>
  <c r="V131" i="80"/>
  <c r="V107" i="80"/>
  <c r="T181" i="83"/>
  <c r="T52" i="71" s="1"/>
  <c r="T112" i="80"/>
  <c r="J20" i="74"/>
  <c r="O204" i="80"/>
  <c r="O206" i="80" s="1"/>
  <c r="Y211" i="83"/>
  <c r="Y83" i="71" s="1"/>
  <c r="Y190" i="83"/>
  <c r="Y61" i="71" s="1"/>
  <c r="T210" i="83"/>
  <c r="T82" i="71" s="1"/>
  <c r="T186" i="83"/>
  <c r="T57" i="71" s="1"/>
  <c r="T182" i="83"/>
  <c r="T53" i="71" s="1"/>
  <c r="U216" i="83"/>
  <c r="U88" i="71" s="1"/>
  <c r="Y153" i="83"/>
  <c r="Y23" i="71" s="1"/>
  <c r="Y155" i="83"/>
  <c r="Y25" i="71" s="1"/>
  <c r="Y182" i="83"/>
  <c r="Y53" i="71" s="1"/>
  <c r="V184" i="83"/>
  <c r="V55" i="71" s="1"/>
  <c r="V216" i="83"/>
  <c r="V88" i="71" s="1"/>
  <c r="Y218" i="83"/>
  <c r="Y90" i="71" s="1"/>
  <c r="Y160" i="83"/>
  <c r="Y30" i="71" s="1"/>
  <c r="Y159" i="83"/>
  <c r="Y29" i="71" s="1"/>
  <c r="T89" i="80"/>
  <c r="T85" i="80"/>
  <c r="Y186" i="83"/>
  <c r="Y57" i="71" s="1"/>
  <c r="X156" i="83"/>
  <c r="X26" i="71" s="1"/>
  <c r="U181" i="83"/>
  <c r="U52" i="71" s="1"/>
  <c r="T156" i="83"/>
  <c r="T26" i="71" s="1"/>
  <c r="V181" i="83"/>
  <c r="V52" i="71" s="1"/>
  <c r="V214" i="83"/>
  <c r="V86" i="71" s="1"/>
  <c r="Q204" i="80"/>
  <c r="N200" i="80"/>
  <c r="N20" i="74" s="1"/>
  <c r="T131" i="80"/>
  <c r="V152" i="83"/>
  <c r="V22" i="71" s="1"/>
  <c r="V127" i="71" s="1"/>
  <c r="T108" i="80"/>
  <c r="T135" i="80"/>
  <c r="T158" i="83"/>
  <c r="T28" i="71" s="1"/>
  <c r="V160" i="83"/>
  <c r="V30" i="71" s="1"/>
  <c r="S204" i="80"/>
  <c r="S202" i="80"/>
  <c r="X87" i="80"/>
  <c r="U83" i="80"/>
  <c r="U129" i="80"/>
  <c r="W107" i="80"/>
  <c r="W130" i="80"/>
  <c r="W84" i="80"/>
  <c r="X86" i="80"/>
  <c r="X109" i="80"/>
  <c r="X106" i="80"/>
  <c r="X129" i="80"/>
  <c r="X83" i="80"/>
  <c r="X112" i="80"/>
  <c r="X89" i="80"/>
  <c r="X135" i="80"/>
  <c r="U110" i="80"/>
  <c r="U108" i="80"/>
  <c r="U123" i="83"/>
  <c r="U210" i="83"/>
  <c r="U82" i="71" s="1"/>
  <c r="X123" i="83"/>
  <c r="X210" i="83"/>
  <c r="X82" i="71" s="1"/>
  <c r="X181" i="83"/>
  <c r="X52" i="71" s="1"/>
  <c r="W112" i="80"/>
  <c r="U188" i="83"/>
  <c r="U59" i="71" s="1"/>
  <c r="W82" i="80"/>
  <c r="W105" i="80"/>
  <c r="W128" i="80"/>
  <c r="X202" i="80"/>
  <c r="X204" i="80"/>
  <c r="X136" i="80"/>
  <c r="X90" i="80"/>
  <c r="X113" i="80"/>
  <c r="W83" i="80"/>
  <c r="W129" i="80"/>
  <c r="X134" i="80"/>
  <c r="X111" i="80"/>
  <c r="X88" i="80"/>
  <c r="X130" i="80"/>
  <c r="X84" i="80"/>
  <c r="X107" i="80"/>
  <c r="Y202" i="80"/>
  <c r="Y204" i="80"/>
  <c r="U204" i="80"/>
  <c r="U202" i="80"/>
  <c r="U136" i="80"/>
  <c r="W85" i="80"/>
  <c r="X124" i="83"/>
  <c r="X182" i="83"/>
  <c r="X53" i="71" s="1"/>
  <c r="X153" i="83"/>
  <c r="X23" i="71" s="1"/>
  <c r="X211" i="83"/>
  <c r="X83" i="71" s="1"/>
  <c r="U90" i="80"/>
  <c r="U109" i="80"/>
  <c r="X108" i="80"/>
  <c r="X131" i="80"/>
  <c r="V204" i="80"/>
  <c r="V202" i="80"/>
  <c r="W89" i="80"/>
  <c r="U82" i="80"/>
  <c r="U211" i="83"/>
  <c r="U83" i="71" s="1"/>
  <c r="W123" i="83"/>
  <c r="W86" i="80"/>
  <c r="U217" i="83"/>
  <c r="U89" i="71" s="1"/>
  <c r="W204" i="80"/>
  <c r="W202" i="80"/>
  <c r="W136" i="80"/>
  <c r="W133" i="80"/>
  <c r="W87" i="80"/>
  <c r="X82" i="80"/>
  <c r="X128" i="80"/>
  <c r="X105" i="80"/>
  <c r="U106" i="80"/>
  <c r="W124" i="83"/>
  <c r="W182" i="83"/>
  <c r="W53" i="71" s="1"/>
  <c r="W153" i="83"/>
  <c r="W23" i="71" s="1"/>
  <c r="W211" i="83"/>
  <c r="W83" i="71" s="1"/>
  <c r="W110" i="80"/>
  <c r="U182" i="83"/>
  <c r="U53" i="71" s="1"/>
  <c r="W90" i="80"/>
  <c r="U161" i="83"/>
  <c r="U31" i="71" s="1"/>
  <c r="T159" i="83"/>
  <c r="T29" i="71" s="1"/>
  <c r="T161" i="83"/>
  <c r="T31" i="71" s="1"/>
  <c r="T215" i="83"/>
  <c r="T87" i="71" s="1"/>
  <c r="T157" i="83"/>
  <c r="T27" i="71" s="1"/>
  <c r="V159" i="83"/>
  <c r="V29" i="71" s="1"/>
  <c r="T217" i="83"/>
  <c r="T89" i="71" s="1"/>
  <c r="V215" i="83"/>
  <c r="V87" i="71" s="1"/>
  <c r="W186" i="83"/>
  <c r="W57" i="71" s="1"/>
  <c r="T219" i="83"/>
  <c r="T91" i="71" s="1"/>
  <c r="X215" i="83"/>
  <c r="X87" i="71" s="1"/>
  <c r="W157" i="83"/>
  <c r="W27" i="71" s="1"/>
  <c r="Y217" i="83"/>
  <c r="Y89" i="71" s="1"/>
  <c r="V188" i="83"/>
  <c r="V59" i="71" s="1"/>
  <c r="Y154" i="83"/>
  <c r="Y24" i="71" s="1"/>
  <c r="Y212" i="83"/>
  <c r="Y84" i="71" s="1"/>
  <c r="T183" i="83"/>
  <c r="T54" i="71" s="1"/>
  <c r="Y213" i="83"/>
  <c r="Y85" i="71" s="1"/>
  <c r="V155" i="83"/>
  <c r="V25" i="71" s="1"/>
  <c r="V217" i="83"/>
  <c r="V89" i="71" s="1"/>
  <c r="Y157" i="83"/>
  <c r="Y27" i="71" s="1"/>
  <c r="Y161" i="83"/>
  <c r="Y31" i="71" s="1"/>
  <c r="T212" i="83"/>
  <c r="T84" i="71" s="1"/>
  <c r="U157" i="83"/>
  <c r="U27" i="71" s="1"/>
  <c r="Q20" i="31"/>
  <c r="P21" i="31"/>
  <c r="U126" i="83"/>
  <c r="V126" i="83"/>
  <c r="R126" i="83"/>
  <c r="X155" i="83"/>
  <c r="X25" i="71" s="1"/>
  <c r="Q126" i="83"/>
  <c r="Q126" i="72" s="1"/>
  <c r="Q196" i="72" s="1"/>
  <c r="Q226" i="72" s="1"/>
  <c r="J126" i="83"/>
  <c r="J126" i="72" s="1"/>
  <c r="J196" i="72" s="1"/>
  <c r="J226" i="72" s="1"/>
  <c r="P126" i="83"/>
  <c r="P126" i="72" s="1"/>
  <c r="P196" i="72" s="1"/>
  <c r="P226" i="72" s="1"/>
  <c r="Y126" i="83"/>
  <c r="U184" i="83"/>
  <c r="U55" i="71" s="1"/>
  <c r="K126" i="83"/>
  <c r="K126" i="72" s="1"/>
  <c r="M126" i="83"/>
  <c r="M126" i="72" s="1"/>
  <c r="S126" i="83"/>
  <c r="L126" i="83"/>
  <c r="L126" i="72" s="1"/>
  <c r="X184" i="83"/>
  <c r="X55" i="71" s="1"/>
  <c r="X126" i="83"/>
  <c r="X213" i="83"/>
  <c r="X85" i="71" s="1"/>
  <c r="N126" i="83"/>
  <c r="N126" i="72" s="1"/>
  <c r="U213" i="83"/>
  <c r="U85" i="71" s="1"/>
  <c r="U155" i="83"/>
  <c r="U25" i="71" s="1"/>
  <c r="U127" i="83"/>
  <c r="V127" i="83"/>
  <c r="M127" i="83"/>
  <c r="M127" i="72" s="1"/>
  <c r="S127" i="83"/>
  <c r="Q127" i="83"/>
  <c r="Q127" i="72" s="1"/>
  <c r="Q197" i="72" s="1"/>
  <c r="Q227" i="72" s="1"/>
  <c r="N127" i="83"/>
  <c r="N127" i="72" s="1"/>
  <c r="O127" i="83"/>
  <c r="O127" i="72" s="1"/>
  <c r="O197" i="72" s="1"/>
  <c r="O227" i="72" s="1"/>
  <c r="X127" i="83"/>
  <c r="T127" i="83"/>
  <c r="J127" i="83"/>
  <c r="J127" i="72" s="1"/>
  <c r="J197" i="72" s="1"/>
  <c r="J227" i="72" s="1"/>
  <c r="W127" i="83"/>
  <c r="U214" i="83"/>
  <c r="U86" i="71" s="1"/>
  <c r="W214" i="83"/>
  <c r="W86" i="71" s="1"/>
  <c r="X185" i="83"/>
  <c r="X56" i="71" s="1"/>
  <c r="U185" i="83"/>
  <c r="U56" i="71" s="1"/>
  <c r="W156" i="83"/>
  <c r="W26" i="71" s="1"/>
  <c r="U156" i="83"/>
  <c r="U26" i="71" s="1"/>
  <c r="W185" i="83"/>
  <c r="W56" i="71" s="1"/>
  <c r="Y163" i="72"/>
  <c r="Y198" i="72" s="1"/>
  <c r="Y228" i="72" s="1"/>
  <c r="W163" i="72"/>
  <c r="W198" i="72" s="1"/>
  <c r="W228" i="72" s="1"/>
  <c r="U163" i="72"/>
  <c r="U198" i="72" s="1"/>
  <c r="U228" i="72" s="1"/>
  <c r="T163" i="72"/>
  <c r="T198" i="72" s="1"/>
  <c r="T228" i="72" s="1"/>
  <c r="X163" i="72"/>
  <c r="X198" i="72" s="1"/>
  <c r="X228" i="72" s="1"/>
  <c r="S163" i="72"/>
  <c r="S198" i="72" s="1"/>
  <c r="S228" i="72" s="1"/>
  <c r="V163" i="72"/>
  <c r="V198" i="72" s="1"/>
  <c r="V228" i="72" s="1"/>
  <c r="R163" i="72"/>
  <c r="R198" i="72" s="1"/>
  <c r="R228" i="72" s="1"/>
  <c r="T160" i="72"/>
  <c r="T195" i="72" s="1"/>
  <c r="T225" i="72" s="1"/>
  <c r="S160" i="72"/>
  <c r="S195" i="72" s="1"/>
  <c r="S225" i="72" s="1"/>
  <c r="V160" i="72"/>
  <c r="V195" i="72" s="1"/>
  <c r="V225" i="72" s="1"/>
  <c r="U160" i="72"/>
  <c r="U195" i="72" s="1"/>
  <c r="U225" i="72" s="1"/>
  <c r="Y160" i="72"/>
  <c r="Y195" i="72" s="1"/>
  <c r="Y225" i="72" s="1"/>
  <c r="R160" i="72"/>
  <c r="R195" i="72" s="1"/>
  <c r="R225" i="72" s="1"/>
  <c r="X160" i="72"/>
  <c r="X195" i="72" s="1"/>
  <c r="X225" i="72" s="1"/>
  <c r="W160" i="72"/>
  <c r="W195" i="72" s="1"/>
  <c r="W225" i="72" s="1"/>
  <c r="U158" i="83"/>
  <c r="U28" i="71" s="1"/>
  <c r="T129" i="83"/>
  <c r="O129" i="83"/>
  <c r="O129" i="72" s="1"/>
  <c r="O199" i="72" s="1"/>
  <c r="O229" i="72" s="1"/>
  <c r="W216" i="83"/>
  <c r="W88" i="71" s="1"/>
  <c r="K129" i="83"/>
  <c r="K129" i="72" s="1"/>
  <c r="J129" i="83"/>
  <c r="J129" i="72" s="1"/>
  <c r="J199" i="72" s="1"/>
  <c r="J229" i="72" s="1"/>
  <c r="Y129" i="83"/>
  <c r="U129" i="83"/>
  <c r="P129" i="83"/>
  <c r="P129" i="72" s="1"/>
  <c r="P199" i="72" s="1"/>
  <c r="P229" i="72" s="1"/>
  <c r="W158" i="83"/>
  <c r="W28" i="71" s="1"/>
  <c r="R129" i="83"/>
  <c r="N129" i="83"/>
  <c r="N129" i="72" s="1"/>
  <c r="W129" i="83"/>
  <c r="Q129" i="83"/>
  <c r="Q129" i="72" s="1"/>
  <c r="Q199" i="72" s="1"/>
  <c r="Q229" i="72" s="1"/>
  <c r="S129" i="83"/>
  <c r="X160" i="83"/>
  <c r="X30" i="71" s="1"/>
  <c r="N131" i="83"/>
  <c r="N131" i="72" s="1"/>
  <c r="J131" i="83"/>
  <c r="J131" i="72" s="1"/>
  <c r="J201" i="72" s="1"/>
  <c r="J231" i="72" s="1"/>
  <c r="P131" i="83"/>
  <c r="P131" i="72" s="1"/>
  <c r="P201" i="72" s="1"/>
  <c r="P231" i="72" s="1"/>
  <c r="Y131" i="83"/>
  <c r="X189" i="83"/>
  <c r="X60" i="71" s="1"/>
  <c r="X218" i="83"/>
  <c r="X90" i="71" s="1"/>
  <c r="L131" i="83"/>
  <c r="L131" i="72" s="1"/>
  <c r="S131" i="83"/>
  <c r="W218" i="83"/>
  <c r="W90" i="71" s="1"/>
  <c r="K131" i="83"/>
  <c r="K131" i="72" s="1"/>
  <c r="X131" i="83"/>
  <c r="U131" i="83"/>
  <c r="W131" i="83"/>
  <c r="T131" i="83"/>
  <c r="R131" i="83"/>
  <c r="V131" i="83"/>
  <c r="O131" i="83"/>
  <c r="O131" i="72" s="1"/>
  <c r="O201" i="72" s="1"/>
  <c r="O231" i="72" s="1"/>
  <c r="W161" i="72"/>
  <c r="W196" i="72" s="1"/>
  <c r="W226" i="72" s="1"/>
  <c r="S161" i="72"/>
  <c r="S196" i="72" s="1"/>
  <c r="S226" i="72" s="1"/>
  <c r="X161" i="72"/>
  <c r="X196" i="72" s="1"/>
  <c r="X226" i="72" s="1"/>
  <c r="R161" i="72"/>
  <c r="R196" i="72" s="1"/>
  <c r="R226" i="72" s="1"/>
  <c r="T161" i="72"/>
  <c r="T196" i="72" s="1"/>
  <c r="T226" i="72" s="1"/>
  <c r="Y161" i="72"/>
  <c r="Y196" i="72" s="1"/>
  <c r="Y226" i="72" s="1"/>
  <c r="V161" i="72"/>
  <c r="V196" i="72" s="1"/>
  <c r="V226" i="72" s="1"/>
  <c r="U161" i="72"/>
  <c r="U196" i="72" s="1"/>
  <c r="U226" i="72" s="1"/>
  <c r="W164" i="72"/>
  <c r="W199" i="72" s="1"/>
  <c r="W229" i="72" s="1"/>
  <c r="X164" i="72"/>
  <c r="X199" i="72" s="1"/>
  <c r="X229" i="72" s="1"/>
  <c r="T164" i="72"/>
  <c r="T199" i="72" s="1"/>
  <c r="T229" i="72" s="1"/>
  <c r="S164" i="72"/>
  <c r="S199" i="72" s="1"/>
  <c r="S229" i="72" s="1"/>
  <c r="U164" i="72"/>
  <c r="U199" i="72" s="1"/>
  <c r="U229" i="72" s="1"/>
  <c r="R164" i="72"/>
  <c r="R199" i="72" s="1"/>
  <c r="R229" i="72" s="1"/>
  <c r="V164" i="72"/>
  <c r="V199" i="72" s="1"/>
  <c r="V229" i="72" s="1"/>
  <c r="Y164" i="72"/>
  <c r="Y199" i="72" s="1"/>
  <c r="Y229" i="72" s="1"/>
  <c r="U187" i="83"/>
  <c r="U58" i="71" s="1"/>
  <c r="U218" i="83"/>
  <c r="U90" i="71" s="1"/>
  <c r="T214" i="83"/>
  <c r="T86" i="71" s="1"/>
  <c r="Y216" i="83"/>
  <c r="Y88" i="71" s="1"/>
  <c r="U212" i="83"/>
  <c r="U84" i="71" s="1"/>
  <c r="Q125" i="83"/>
  <c r="Q125" i="72" s="1"/>
  <c r="Q195" i="72" s="1"/>
  <c r="Q225" i="72" s="1"/>
  <c r="M125" i="83"/>
  <c r="M125" i="72" s="1"/>
  <c r="Y125" i="83"/>
  <c r="N125" i="83"/>
  <c r="N125" i="72" s="1"/>
  <c r="S125" i="83"/>
  <c r="O125" i="83"/>
  <c r="O125" i="72" s="1"/>
  <c r="O195" i="72" s="1"/>
  <c r="O225" i="72" s="1"/>
  <c r="X154" i="83"/>
  <c r="X24" i="71" s="1"/>
  <c r="U154" i="83"/>
  <c r="U24" i="71" s="1"/>
  <c r="U125" i="83"/>
  <c r="W212" i="83"/>
  <c r="W84" i="71" s="1"/>
  <c r="T125" i="83"/>
  <c r="R125" i="83"/>
  <c r="L125" i="83"/>
  <c r="L125" i="72" s="1"/>
  <c r="W125" i="83"/>
  <c r="W154" i="83"/>
  <c r="W24" i="71" s="1"/>
  <c r="K125" i="83"/>
  <c r="K125" i="72" s="1"/>
  <c r="X125" i="83"/>
  <c r="T132" i="83"/>
  <c r="N132" i="83"/>
  <c r="N132" i="72" s="1"/>
  <c r="S132" i="83"/>
  <c r="R132" i="83"/>
  <c r="K132" i="83"/>
  <c r="K132" i="72" s="1"/>
  <c r="L132" i="83"/>
  <c r="L132" i="72" s="1"/>
  <c r="X132" i="83"/>
  <c r="M132" i="83"/>
  <c r="M132" i="72" s="1"/>
  <c r="U132" i="83"/>
  <c r="O132" i="83"/>
  <c r="O132" i="72" s="1"/>
  <c r="O202" i="72" s="1"/>
  <c r="O232" i="72" s="1"/>
  <c r="V132" i="83"/>
  <c r="W132" i="83"/>
  <c r="P132" i="83"/>
  <c r="P132" i="72" s="1"/>
  <c r="P202" i="72" s="1"/>
  <c r="P232" i="72" s="1"/>
  <c r="J132" i="83"/>
  <c r="J132" i="72" s="1"/>
  <c r="J202" i="72" s="1"/>
  <c r="J232" i="72" s="1"/>
  <c r="Y132" i="83"/>
  <c r="U219" i="83"/>
  <c r="U91" i="71" s="1"/>
  <c r="W219" i="83"/>
  <c r="W91" i="71" s="1"/>
  <c r="X219" i="83"/>
  <c r="X91" i="71" s="1"/>
  <c r="X190" i="83"/>
  <c r="X61" i="71" s="1"/>
  <c r="X161" i="83"/>
  <c r="X31" i="71" s="1"/>
  <c r="U189" i="83"/>
  <c r="U60" i="71" s="1"/>
  <c r="Y167" i="72"/>
  <c r="Y202" i="72" s="1"/>
  <c r="Y232" i="72" s="1"/>
  <c r="W167" i="72"/>
  <c r="W202" i="72" s="1"/>
  <c r="W232" i="72" s="1"/>
  <c r="X167" i="72"/>
  <c r="X202" i="72" s="1"/>
  <c r="X232" i="72" s="1"/>
  <c r="R167" i="72"/>
  <c r="R202" i="72" s="1"/>
  <c r="R232" i="72" s="1"/>
  <c r="S167" i="72"/>
  <c r="S202" i="72" s="1"/>
  <c r="S232" i="72" s="1"/>
  <c r="V167" i="72"/>
  <c r="V202" i="72" s="1"/>
  <c r="V232" i="72" s="1"/>
  <c r="U167" i="72"/>
  <c r="U202" i="72" s="1"/>
  <c r="U232" i="72" s="1"/>
  <c r="T167" i="72"/>
  <c r="T202" i="72" s="1"/>
  <c r="T232" i="72" s="1"/>
  <c r="V165" i="72"/>
  <c r="V200" i="72" s="1"/>
  <c r="V230" i="72" s="1"/>
  <c r="R165" i="72"/>
  <c r="R200" i="72" s="1"/>
  <c r="R230" i="72" s="1"/>
  <c r="W165" i="72"/>
  <c r="W200" i="72" s="1"/>
  <c r="W230" i="72" s="1"/>
  <c r="T165" i="72"/>
  <c r="T200" i="72" s="1"/>
  <c r="T230" i="72" s="1"/>
  <c r="Y165" i="72"/>
  <c r="Y200" i="72" s="1"/>
  <c r="Y230" i="72" s="1"/>
  <c r="S165" i="72"/>
  <c r="S200" i="72" s="1"/>
  <c r="S230" i="72" s="1"/>
  <c r="X165" i="72"/>
  <c r="X200" i="72" s="1"/>
  <c r="X230" i="72" s="1"/>
  <c r="U165" i="72"/>
  <c r="U200" i="72" s="1"/>
  <c r="U230" i="72" s="1"/>
  <c r="U160" i="83"/>
  <c r="U30" i="71" s="1"/>
  <c r="W187" i="83"/>
  <c r="W58" i="71" s="1"/>
  <c r="U183" i="83"/>
  <c r="U54" i="71" s="1"/>
  <c r="W161" i="83"/>
  <c r="W31" i="71" s="1"/>
  <c r="Y183" i="83"/>
  <c r="Y54" i="71" s="1"/>
  <c r="V213" i="83"/>
  <c r="V85" i="71" s="1"/>
  <c r="V190" i="83"/>
  <c r="V61" i="71" s="1"/>
  <c r="Y158" i="83"/>
  <c r="Y28" i="71" s="1"/>
  <c r="Y219" i="83"/>
  <c r="Y91" i="71" s="1"/>
  <c r="Y189" i="83"/>
  <c r="Y60" i="71" s="1"/>
  <c r="V218" i="83"/>
  <c r="V90" i="71" s="1"/>
  <c r="Y184" i="83"/>
  <c r="Y55" i="71" s="1"/>
  <c r="Y187" i="83"/>
  <c r="Y58" i="71" s="1"/>
  <c r="T185" i="83"/>
  <c r="T56" i="71" s="1"/>
  <c r="V154" i="83"/>
  <c r="V24" i="71" s="1"/>
  <c r="T187" i="83"/>
  <c r="T58" i="71" s="1"/>
  <c r="V189" i="83"/>
  <c r="V60" i="71" s="1"/>
  <c r="V161" i="83"/>
  <c r="V31" i="71" s="1"/>
  <c r="V219" i="83"/>
  <c r="V91" i="71" s="1"/>
  <c r="U130" i="83"/>
  <c r="Q130" i="83"/>
  <c r="Q130" i="72" s="1"/>
  <c r="Q200" i="72" s="1"/>
  <c r="Q230" i="72" s="1"/>
  <c r="O130" i="83"/>
  <c r="O130" i="72" s="1"/>
  <c r="O200" i="72" s="1"/>
  <c r="O230" i="72" s="1"/>
  <c r="W130" i="83"/>
  <c r="X217" i="83"/>
  <c r="X89" i="71" s="1"/>
  <c r="U159" i="83"/>
  <c r="U29" i="71" s="1"/>
  <c r="T130" i="83"/>
  <c r="J130" i="83"/>
  <c r="J130" i="72" s="1"/>
  <c r="J200" i="72" s="1"/>
  <c r="J230" i="72" s="1"/>
  <c r="Y130" i="83"/>
  <c r="X159" i="83"/>
  <c r="X29" i="71" s="1"/>
  <c r="K130" i="83"/>
  <c r="K130" i="72" s="1"/>
  <c r="M130" i="83"/>
  <c r="M130" i="72" s="1"/>
  <c r="S130" i="83"/>
  <c r="V130" i="83"/>
  <c r="R130" i="83"/>
  <c r="X188" i="83"/>
  <c r="X59" i="71" s="1"/>
  <c r="X130" i="83"/>
  <c r="L130" i="83"/>
  <c r="L130" i="72" s="1"/>
  <c r="N128" i="83"/>
  <c r="N128" i="72" s="1"/>
  <c r="K128" i="83"/>
  <c r="K128" i="72" s="1"/>
  <c r="P128" i="83"/>
  <c r="P128" i="72" s="1"/>
  <c r="P198" i="72" s="1"/>
  <c r="P228" i="72" s="1"/>
  <c r="M128" i="83"/>
  <c r="M128" i="72" s="1"/>
  <c r="T128" i="83"/>
  <c r="Q128" i="83"/>
  <c r="Q128" i="72" s="1"/>
  <c r="Q198" i="72" s="1"/>
  <c r="Q228" i="72" s="1"/>
  <c r="J128" i="83"/>
  <c r="J128" i="72" s="1"/>
  <c r="J198" i="72" s="1"/>
  <c r="J228" i="72" s="1"/>
  <c r="L128" i="83"/>
  <c r="L128" i="72" s="1"/>
  <c r="R128" i="83"/>
  <c r="O128" i="83"/>
  <c r="O128" i="72" s="1"/>
  <c r="O198" i="72" s="1"/>
  <c r="O228" i="72" s="1"/>
  <c r="X128" i="83"/>
  <c r="V128" i="83"/>
  <c r="U128" i="83"/>
  <c r="W128" i="83"/>
  <c r="S128" i="83"/>
  <c r="U215" i="83"/>
  <c r="U87" i="71" s="1"/>
  <c r="X157" i="83"/>
  <c r="X27" i="71" s="1"/>
  <c r="X186" i="83"/>
  <c r="X57" i="71" s="1"/>
  <c r="W215" i="83"/>
  <c r="W87" i="71" s="1"/>
  <c r="W190" i="83"/>
  <c r="W61" i="71" s="1"/>
  <c r="W188" i="83"/>
  <c r="W59" i="71" s="1"/>
  <c r="X166" i="72"/>
  <c r="X201" i="72" s="1"/>
  <c r="X231" i="72" s="1"/>
  <c r="V166" i="72"/>
  <c r="V201" i="72" s="1"/>
  <c r="V231" i="72" s="1"/>
  <c r="Y166" i="72"/>
  <c r="Y201" i="72" s="1"/>
  <c r="Y231" i="72" s="1"/>
  <c r="U166" i="72"/>
  <c r="U201" i="72" s="1"/>
  <c r="U231" i="72" s="1"/>
  <c r="T166" i="72"/>
  <c r="T201" i="72" s="1"/>
  <c r="T231" i="72" s="1"/>
  <c r="S166" i="72"/>
  <c r="S201" i="72" s="1"/>
  <c r="S231" i="72" s="1"/>
  <c r="R166" i="72"/>
  <c r="R201" i="72" s="1"/>
  <c r="R231" i="72" s="1"/>
  <c r="W166" i="72"/>
  <c r="W201" i="72" s="1"/>
  <c r="W231" i="72" s="1"/>
  <c r="T162" i="72"/>
  <c r="T197" i="72" s="1"/>
  <c r="T227" i="72" s="1"/>
  <c r="R162" i="72"/>
  <c r="R197" i="72" s="1"/>
  <c r="R227" i="72" s="1"/>
  <c r="X162" i="72"/>
  <c r="X197" i="72" s="1"/>
  <c r="X227" i="72" s="1"/>
  <c r="S162" i="72"/>
  <c r="S197" i="72" s="1"/>
  <c r="S227" i="72" s="1"/>
  <c r="U162" i="72"/>
  <c r="U197" i="72" s="1"/>
  <c r="U227" i="72" s="1"/>
  <c r="V162" i="72"/>
  <c r="V197" i="72" s="1"/>
  <c r="V227" i="72" s="1"/>
  <c r="Y162" i="72"/>
  <c r="Y197" i="72" s="1"/>
  <c r="Y227" i="72" s="1"/>
  <c r="W162" i="72"/>
  <c r="W197" i="72" s="1"/>
  <c r="W227" i="72" s="1"/>
  <c r="W160" i="83"/>
  <c r="W30" i="71" s="1"/>
  <c r="W189" i="83"/>
  <c r="W60" i="71" s="1"/>
  <c r="W183" i="83"/>
  <c r="W54" i="71" s="1"/>
  <c r="M202" i="80"/>
  <c r="M206" i="80" s="1"/>
  <c r="M255" i="80"/>
  <c r="M259" i="80"/>
  <c r="M258" i="80"/>
  <c r="M257" i="80"/>
  <c r="M253" i="80"/>
  <c r="M254" i="80"/>
  <c r="M252" i="80"/>
  <c r="M256" i="80"/>
  <c r="J202" i="80"/>
  <c r="S74" i="74"/>
  <c r="S78" i="74"/>
  <c r="S77" i="74"/>
  <c r="S73" i="74"/>
  <c r="S76" i="74"/>
  <c r="S75" i="74"/>
  <c r="S72" i="74"/>
  <c r="R133" i="74"/>
  <c r="R132" i="74"/>
  <c r="W132" i="74"/>
  <c r="W133" i="74"/>
  <c r="T132" i="74"/>
  <c r="T133" i="74"/>
  <c r="K133" i="74"/>
  <c r="K132" i="74"/>
  <c r="L132" i="74"/>
  <c r="L133" i="74"/>
  <c r="Y133" i="74"/>
  <c r="Y132" i="74"/>
  <c r="X132" i="74"/>
  <c r="X133" i="74"/>
  <c r="S133" i="74"/>
  <c r="S132" i="74"/>
  <c r="U133" i="74"/>
  <c r="U132" i="74"/>
  <c r="O133" i="74"/>
  <c r="O132" i="74"/>
  <c r="J132" i="74"/>
  <c r="J133" i="74"/>
  <c r="V133" i="74"/>
  <c r="V132" i="74"/>
  <c r="Q133" i="74"/>
  <c r="Q132" i="74"/>
  <c r="S55" i="41"/>
  <c r="P132" i="74"/>
  <c r="P133" i="74"/>
  <c r="A4" i="22"/>
  <c r="J41" i="55"/>
  <c r="H33" i="111"/>
  <c r="T74" i="81" s="1"/>
  <c r="T76" i="81" s="1"/>
  <c r="T108" i="81" s="1"/>
  <c r="S52" i="82" s="1"/>
  <c r="H34" i="111"/>
  <c r="U74" i="81" s="1"/>
  <c r="U76" i="81" s="1"/>
  <c r="U108" i="81" s="1"/>
  <c r="T52" i="82" s="1"/>
  <c r="Q206" i="80" l="1"/>
  <c r="Y144" i="80"/>
  <c r="Y170" i="80" s="1"/>
  <c r="T218" i="83"/>
  <c r="T90" i="71" s="1"/>
  <c r="T195" i="71" s="1"/>
  <c r="V153" i="83"/>
  <c r="V23" i="71" s="1"/>
  <c r="V128" i="71" s="1"/>
  <c r="P206" i="80"/>
  <c r="V182" i="83"/>
  <c r="V53" i="71" s="1"/>
  <c r="V158" i="71" s="1"/>
  <c r="Y210" i="83"/>
  <c r="Y82" i="71" s="1"/>
  <c r="Y187" i="71" s="1"/>
  <c r="U107" i="80"/>
  <c r="U144" i="80" s="1"/>
  <c r="U170" i="80" s="1"/>
  <c r="W181" i="83"/>
  <c r="W52" i="71" s="1"/>
  <c r="W157" i="71" s="1"/>
  <c r="T160" i="83"/>
  <c r="T30" i="71" s="1"/>
  <c r="T135" i="71" s="1"/>
  <c r="Y128" i="83"/>
  <c r="Y156" i="83"/>
  <c r="Y26" i="71" s="1"/>
  <c r="Y131" i="71" s="1"/>
  <c r="X212" i="83"/>
  <c r="X84" i="71" s="1"/>
  <c r="X189" i="71" s="1"/>
  <c r="V187" i="83"/>
  <c r="V58" i="71" s="1"/>
  <c r="V163" i="71" s="1"/>
  <c r="V129" i="83"/>
  <c r="X129" i="83"/>
  <c r="W155" i="83"/>
  <c r="W25" i="71" s="1"/>
  <c r="W130" i="71" s="1"/>
  <c r="W213" i="83"/>
  <c r="W85" i="71" s="1"/>
  <c r="W190" i="71" s="1"/>
  <c r="W126" i="83"/>
  <c r="W152" i="83"/>
  <c r="W22" i="71" s="1"/>
  <c r="W127" i="71" s="1"/>
  <c r="X110" i="80"/>
  <c r="X147" i="80" s="1"/>
  <c r="X173" i="80" s="1"/>
  <c r="Y214" i="83"/>
  <c r="Y86" i="71" s="1"/>
  <c r="Y191" i="71" s="1"/>
  <c r="T142" i="80"/>
  <c r="T168" i="80" s="1"/>
  <c r="X216" i="83"/>
  <c r="X88" i="71" s="1"/>
  <c r="X193" i="71" s="1"/>
  <c r="W217" i="83"/>
  <c r="W89" i="71" s="1"/>
  <c r="W194" i="71" s="1"/>
  <c r="V212" i="83"/>
  <c r="V84" i="71" s="1"/>
  <c r="V189" i="71" s="1"/>
  <c r="V125" i="83"/>
  <c r="T213" i="83"/>
  <c r="T85" i="71" s="1"/>
  <c r="T190" i="71" s="1"/>
  <c r="X158" i="83"/>
  <c r="X28" i="71" s="1"/>
  <c r="X133" i="71" s="1"/>
  <c r="Y185" i="83"/>
  <c r="Y56" i="71" s="1"/>
  <c r="Y161" i="71" s="1"/>
  <c r="T126" i="83"/>
  <c r="V157" i="83"/>
  <c r="V27" i="71" s="1"/>
  <c r="V132" i="71" s="1"/>
  <c r="U124" i="83"/>
  <c r="R204" i="80"/>
  <c r="T152" i="83"/>
  <c r="T22" i="71" s="1"/>
  <c r="T127" i="71" s="1"/>
  <c r="Y152" i="83"/>
  <c r="Y22" i="71" s="1"/>
  <c r="Y127" i="71" s="1"/>
  <c r="V185" i="83"/>
  <c r="V56" i="71" s="1"/>
  <c r="V161" i="71" s="1"/>
  <c r="T155" i="83"/>
  <c r="T25" i="71" s="1"/>
  <c r="T130" i="71" s="1"/>
  <c r="U133" i="80"/>
  <c r="U147" i="80" s="1"/>
  <c r="U173" i="80" s="1"/>
  <c r="T136" i="80"/>
  <c r="T202" i="80"/>
  <c r="T206" i="80" s="1"/>
  <c r="T90" i="80"/>
  <c r="T204" i="80"/>
  <c r="U148" i="80"/>
  <c r="U174" i="80" s="1"/>
  <c r="U146" i="80"/>
  <c r="U172" i="80" s="1"/>
  <c r="T146" i="80"/>
  <c r="T172" i="80" s="1"/>
  <c r="U142" i="80"/>
  <c r="U168" i="80" s="1"/>
  <c r="W148" i="80"/>
  <c r="W174" i="80" s="1"/>
  <c r="U149" i="80"/>
  <c r="U175" i="80" s="1"/>
  <c r="U145" i="80"/>
  <c r="U171" i="80" s="1"/>
  <c r="K77" i="53"/>
  <c r="K83" i="53" s="1"/>
  <c r="L77" i="53"/>
  <c r="L83" i="53" s="1"/>
  <c r="M77" i="53"/>
  <c r="M83" i="53" s="1"/>
  <c r="J206" i="80"/>
  <c r="J77" i="53"/>
  <c r="J83" i="53" s="1"/>
  <c r="W146" i="80"/>
  <c r="W172" i="80" s="1"/>
  <c r="M79" i="53"/>
  <c r="M85" i="53" s="1"/>
  <c r="L79" i="53"/>
  <c r="L85" i="53" s="1"/>
  <c r="K79" i="53"/>
  <c r="K85" i="53" s="1"/>
  <c r="J79" i="53"/>
  <c r="J85" i="53" s="1"/>
  <c r="Y142" i="80"/>
  <c r="Y168" i="80" s="1"/>
  <c r="T148" i="80"/>
  <c r="T174" i="80" s="1"/>
  <c r="Y150" i="80"/>
  <c r="Y208" i="80" s="1"/>
  <c r="T144" i="80"/>
  <c r="T170" i="80" s="1"/>
  <c r="V146" i="80"/>
  <c r="V172" i="80" s="1"/>
  <c r="V148" i="80"/>
  <c r="V174" i="80" s="1"/>
  <c r="Y146" i="80"/>
  <c r="Y172" i="80" s="1"/>
  <c r="T147" i="80"/>
  <c r="T173" i="80" s="1"/>
  <c r="V142" i="80"/>
  <c r="V168" i="80" s="1"/>
  <c r="Y149" i="80"/>
  <c r="Y175" i="80" s="1"/>
  <c r="Y147" i="80"/>
  <c r="Y173" i="80" s="1"/>
  <c r="Y143" i="80"/>
  <c r="Y169" i="80" s="1"/>
  <c r="V150" i="80"/>
  <c r="V176" i="80" s="1"/>
  <c r="Y145" i="80"/>
  <c r="Y171" i="80" s="1"/>
  <c r="Y148" i="80"/>
  <c r="Y174" i="80" s="1"/>
  <c r="W145" i="80"/>
  <c r="W171" i="80" s="1"/>
  <c r="V147" i="80"/>
  <c r="V173" i="80" s="1"/>
  <c r="V149" i="80"/>
  <c r="V175" i="80" s="1"/>
  <c r="V145" i="80"/>
  <c r="V171" i="80" s="1"/>
  <c r="V144" i="80"/>
  <c r="V170" i="80" s="1"/>
  <c r="V143" i="80"/>
  <c r="V169" i="80" s="1"/>
  <c r="T143" i="80"/>
  <c r="T169" i="80" s="1"/>
  <c r="V206" i="80"/>
  <c r="O276" i="53"/>
  <c r="O275" i="53"/>
  <c r="O299" i="53"/>
  <c r="O277" i="53"/>
  <c r="O295" i="53"/>
  <c r="O297" i="53"/>
  <c r="O288" i="53"/>
  <c r="O274" i="53"/>
  <c r="O273" i="53"/>
  <c r="O285" i="53"/>
  <c r="O280" i="53"/>
  <c r="O283" i="53"/>
  <c r="O287" i="53"/>
  <c r="O298" i="53"/>
  <c r="O301" i="53"/>
  <c r="O300" i="53"/>
  <c r="O296" i="53"/>
  <c r="O291" i="53"/>
  <c r="O294" i="53"/>
  <c r="O290" i="53"/>
  <c r="O289" i="53"/>
  <c r="O272" i="53"/>
  <c r="O286" i="53"/>
  <c r="O284" i="53"/>
  <c r="O302" i="53"/>
  <c r="O279" i="53"/>
  <c r="O278" i="53"/>
  <c r="N288" i="53"/>
  <c r="N299" i="53"/>
  <c r="N278" i="53"/>
  <c r="N295" i="53"/>
  <c r="N297" i="53"/>
  <c r="N109" i="83" s="1"/>
  <c r="N214" i="83" s="1"/>
  <c r="N86" i="71" s="1"/>
  <c r="N276" i="53"/>
  <c r="N289" i="53"/>
  <c r="N285" i="53"/>
  <c r="N287" i="53"/>
  <c r="N275" i="53"/>
  <c r="N279" i="53"/>
  <c r="N298" i="53"/>
  <c r="N280" i="53"/>
  <c r="N300" i="53"/>
  <c r="N296" i="53"/>
  <c r="N294" i="53"/>
  <c r="N301" i="53"/>
  <c r="N273" i="53"/>
  <c r="N302" i="53"/>
  <c r="N286" i="53"/>
  <c r="N283" i="53"/>
  <c r="N291" i="53"/>
  <c r="N102" i="83" s="1"/>
  <c r="N190" i="83" s="1"/>
  <c r="N61" i="71" s="1"/>
  <c r="N284" i="53"/>
  <c r="N272" i="53"/>
  <c r="N274" i="53"/>
  <c r="N277" i="53"/>
  <c r="N290" i="53"/>
  <c r="N101" i="83" s="1"/>
  <c r="N189" i="83" s="1"/>
  <c r="N60" i="71" s="1"/>
  <c r="P273" i="53"/>
  <c r="P290" i="53"/>
  <c r="P277" i="53"/>
  <c r="P295" i="53"/>
  <c r="P287" i="53"/>
  <c r="P283" i="53"/>
  <c r="P284" i="53"/>
  <c r="P296" i="53"/>
  <c r="P298" i="53"/>
  <c r="P294" i="53"/>
  <c r="P299" i="53"/>
  <c r="P302" i="53"/>
  <c r="P276" i="53"/>
  <c r="P275" i="53"/>
  <c r="P272" i="53"/>
  <c r="P279" i="53"/>
  <c r="P286" i="53"/>
  <c r="P300" i="53"/>
  <c r="P274" i="53"/>
  <c r="P288" i="53"/>
  <c r="P291" i="53"/>
  <c r="P285" i="53"/>
  <c r="P289" i="53"/>
  <c r="P278" i="53"/>
  <c r="P301" i="53"/>
  <c r="P280" i="53"/>
  <c r="P297" i="53"/>
  <c r="T149" i="80"/>
  <c r="T175" i="80" s="1"/>
  <c r="M54" i="53"/>
  <c r="T145" i="80"/>
  <c r="T171" i="80" s="1"/>
  <c r="N204" i="80"/>
  <c r="N206" i="80" s="1"/>
  <c r="S206" i="80"/>
  <c r="U150" i="80"/>
  <c r="U143" i="80"/>
  <c r="U169" i="80" s="1"/>
  <c r="W150" i="80"/>
  <c r="W208" i="80" s="1"/>
  <c r="W143" i="80"/>
  <c r="W169" i="80" s="1"/>
  <c r="W144" i="80"/>
  <c r="W170" i="80" s="1"/>
  <c r="X145" i="80"/>
  <c r="X171" i="80" s="1"/>
  <c r="X144" i="80"/>
  <c r="X170" i="80" s="1"/>
  <c r="X150" i="80"/>
  <c r="X176" i="80" s="1"/>
  <c r="X143" i="80"/>
  <c r="X169" i="80" s="1"/>
  <c r="X146" i="80"/>
  <c r="X172" i="80" s="1"/>
  <c r="W149" i="80"/>
  <c r="W175" i="80" s="1"/>
  <c r="Y206" i="80"/>
  <c r="X148" i="80"/>
  <c r="X174" i="80" s="1"/>
  <c r="W142" i="80"/>
  <c r="W168" i="80" s="1"/>
  <c r="W147" i="80"/>
  <c r="W173" i="80" s="1"/>
  <c r="X142" i="80"/>
  <c r="X168" i="80" s="1"/>
  <c r="W206" i="80"/>
  <c r="U206" i="80"/>
  <c r="X206" i="80"/>
  <c r="X22" i="71"/>
  <c r="X127" i="71" s="1"/>
  <c r="X149" i="80"/>
  <c r="X175" i="80" s="1"/>
  <c r="R206" i="80"/>
  <c r="Q21" i="31"/>
  <c r="Q23" i="31" s="1"/>
  <c r="R20" i="31"/>
  <c r="S99" i="105"/>
  <c r="S109" i="105"/>
  <c r="U157" i="71"/>
  <c r="W195" i="71"/>
  <c r="X191" i="71"/>
  <c r="X190" i="71"/>
  <c r="L195" i="72"/>
  <c r="L225" i="72" s="1"/>
  <c r="Y160" i="71"/>
  <c r="Y136" i="71"/>
  <c r="T165" i="71"/>
  <c r="U191" i="71"/>
  <c r="V162" i="71"/>
  <c r="W192" i="71"/>
  <c r="L196" i="72"/>
  <c r="L226" i="72" s="1"/>
  <c r="V190" i="71"/>
  <c r="U165" i="71"/>
  <c r="U164" i="71"/>
  <c r="T134" i="71"/>
  <c r="V187" i="71"/>
  <c r="V193" i="71"/>
  <c r="U193" i="71"/>
  <c r="T160" i="71"/>
  <c r="W191" i="71"/>
  <c r="Y158" i="71"/>
  <c r="T132" i="71"/>
  <c r="W128" i="71"/>
  <c r="K202" i="72"/>
  <c r="K232" i="72" s="1"/>
  <c r="X194" i="71"/>
  <c r="U158" i="71"/>
  <c r="W187" i="71"/>
  <c r="U132" i="71"/>
  <c r="Y163" i="71"/>
  <c r="W165" i="71"/>
  <c r="L201" i="72"/>
  <c r="L231" i="72" s="1"/>
  <c r="V135" i="71"/>
  <c r="K201" i="72"/>
  <c r="K231" i="72" s="1"/>
  <c r="X161" i="71"/>
  <c r="T129" i="71"/>
  <c r="W136" i="71"/>
  <c r="T136" i="71"/>
  <c r="T193" i="71"/>
  <c r="X166" i="71"/>
  <c r="L199" i="72"/>
  <c r="L229" i="72" s="1"/>
  <c r="Y130" i="71"/>
  <c r="K195" i="72"/>
  <c r="K225" i="72" s="1"/>
  <c r="X129" i="71"/>
  <c r="Y192" i="71"/>
  <c r="U166" i="71"/>
  <c r="W159" i="71"/>
  <c r="U161" i="71"/>
  <c r="U189" i="71"/>
  <c r="K196" i="72"/>
  <c r="K226" i="72" s="1"/>
  <c r="V166" i="71"/>
  <c r="X135" i="71"/>
  <c r="X187" i="71"/>
  <c r="M200" i="72"/>
  <c r="M230" i="72" s="1"/>
  <c r="N200" i="72"/>
  <c r="N230" i="72" s="1"/>
  <c r="T128" i="71"/>
  <c r="V160" i="71"/>
  <c r="V164" i="71"/>
  <c r="M202" i="72"/>
  <c r="M232" i="72" s="1"/>
  <c r="N202" i="72"/>
  <c r="N232" i="72" s="1"/>
  <c r="W133" i="71"/>
  <c r="Y135" i="71"/>
  <c r="T187" i="71"/>
  <c r="N195" i="72"/>
  <c r="N225" i="72" s="1"/>
  <c r="M195" i="72"/>
  <c r="M225" i="72" s="1"/>
  <c r="U160" i="71"/>
  <c r="Y157" i="71"/>
  <c r="T164" i="71"/>
  <c r="V131" i="71"/>
  <c r="X188" i="71"/>
  <c r="T161" i="71"/>
  <c r="V133" i="71"/>
  <c r="V129" i="71"/>
  <c r="Y129" i="71"/>
  <c r="V188" i="71"/>
  <c r="U162" i="71"/>
  <c r="Y193" i="71"/>
  <c r="X136" i="71"/>
  <c r="X159" i="71"/>
  <c r="U196" i="71"/>
  <c r="W189" i="71"/>
  <c r="U129" i="71"/>
  <c r="W164" i="71"/>
  <c r="T158" i="71"/>
  <c r="V134" i="71"/>
  <c r="T131" i="71"/>
  <c r="N199" i="72"/>
  <c r="N229" i="72" s="1"/>
  <c r="M199" i="72"/>
  <c r="M229" i="72" s="1"/>
  <c r="W161" i="71"/>
  <c r="Y128" i="71"/>
  <c r="T192" i="71"/>
  <c r="W188" i="71"/>
  <c r="X192" i="71"/>
  <c r="Y159" i="71"/>
  <c r="X164" i="71"/>
  <c r="U188" i="71"/>
  <c r="M197" i="72"/>
  <c r="M227" i="72" s="1"/>
  <c r="N197" i="72"/>
  <c r="N227" i="72" s="1"/>
  <c r="U192" i="71"/>
  <c r="K197" i="72"/>
  <c r="K227" i="72" s="1"/>
  <c r="L200" i="72"/>
  <c r="L230" i="72" s="1"/>
  <c r="X131" i="71"/>
  <c r="W196" i="71"/>
  <c r="X130" i="71"/>
  <c r="T166" i="71"/>
  <c r="W160" i="71"/>
  <c r="T133" i="71"/>
  <c r="X196" i="71"/>
  <c r="Y190" i="71"/>
  <c r="Y166" i="71"/>
  <c r="W129" i="71"/>
  <c r="U159" i="71"/>
  <c r="K200" i="72"/>
  <c r="K230" i="72" s="1"/>
  <c r="W134" i="71"/>
  <c r="V136" i="71"/>
  <c r="X157" i="71"/>
  <c r="W162" i="71"/>
  <c r="T188" i="71"/>
  <c r="V130" i="71"/>
  <c r="V194" i="71"/>
  <c r="U135" i="71"/>
  <c r="T157" i="71"/>
  <c r="K198" i="72"/>
  <c r="K228" i="72" s="1"/>
  <c r="U134" i="71"/>
  <c r="Y134" i="71"/>
  <c r="X158" i="71"/>
  <c r="T191" i="71"/>
  <c r="V159" i="71"/>
  <c r="U163" i="71"/>
  <c r="X163" i="71"/>
  <c r="T162" i="71"/>
  <c r="X132" i="71"/>
  <c r="L202" i="72"/>
  <c r="L232" i="72" s="1"/>
  <c r="V195" i="71"/>
  <c r="T189" i="71"/>
  <c r="Y132" i="71"/>
  <c r="X195" i="71"/>
  <c r="W193" i="71"/>
  <c r="Y195" i="71"/>
  <c r="U130" i="71"/>
  <c r="Y164" i="71"/>
  <c r="W131" i="71"/>
  <c r="Y188" i="71"/>
  <c r="W158" i="71"/>
  <c r="X162" i="71"/>
  <c r="M198" i="72"/>
  <c r="M228" i="72" s="1"/>
  <c r="N198" i="72"/>
  <c r="N228" i="72" s="1"/>
  <c r="Y189" i="71"/>
  <c r="X134" i="71"/>
  <c r="U128" i="71"/>
  <c r="M201" i="72"/>
  <c r="M231" i="72" s="1"/>
  <c r="N201" i="72"/>
  <c r="N231" i="72" s="1"/>
  <c r="U187" i="71"/>
  <c r="Y133" i="71"/>
  <c r="M196" i="72"/>
  <c r="M226" i="72" s="1"/>
  <c r="N196" i="72"/>
  <c r="N226" i="72" s="1"/>
  <c r="W135" i="71"/>
  <c r="L198" i="72"/>
  <c r="L228" i="72" s="1"/>
  <c r="V165" i="71"/>
  <c r="T159" i="71"/>
  <c r="W166" i="71"/>
  <c r="X160" i="71"/>
  <c r="L197" i="72"/>
  <c r="L227" i="72" s="1"/>
  <c r="T196" i="71"/>
  <c r="T163" i="71"/>
  <c r="Y162" i="71"/>
  <c r="Y196" i="71"/>
  <c r="U136" i="71"/>
  <c r="U131" i="71"/>
  <c r="V192" i="71"/>
  <c r="K199" i="72"/>
  <c r="K229" i="72" s="1"/>
  <c r="V196" i="71"/>
  <c r="X165" i="71"/>
  <c r="W132" i="71"/>
  <c r="W163" i="71"/>
  <c r="U195" i="71"/>
  <c r="Y165" i="71"/>
  <c r="U190" i="71"/>
  <c r="U194" i="71"/>
  <c r="Y194" i="71"/>
  <c r="T194" i="71"/>
  <c r="V157" i="71"/>
  <c r="V191" i="71"/>
  <c r="X128" i="71"/>
  <c r="U133" i="71"/>
  <c r="H38" i="111" a="1"/>
  <c r="H38" i="111" s="1"/>
  <c r="J44" i="55" s="1"/>
  <c r="T150" i="80" l="1"/>
  <c r="T176" i="80" s="1"/>
  <c r="T177" i="80" s="1"/>
  <c r="R135" i="65"/>
  <c r="R50" i="105" s="1"/>
  <c r="R89" i="105" s="1"/>
  <c r="R124" i="65"/>
  <c r="R153" i="65" s="1"/>
  <c r="R68" i="105" s="1"/>
  <c r="R186" i="105" s="1"/>
  <c r="R115" i="65"/>
  <c r="R144" i="65" s="1"/>
  <c r="R59" i="105" s="1"/>
  <c r="R175" i="105" s="1"/>
  <c r="M91" i="53"/>
  <c r="M93" i="53" s="1"/>
  <c r="J91" i="53"/>
  <c r="J93" i="53" s="1"/>
  <c r="L91" i="53"/>
  <c r="L93" i="53" s="1"/>
  <c r="K91" i="53"/>
  <c r="K93" i="53" s="1"/>
  <c r="Y176" i="80"/>
  <c r="Y177" i="80" s="1"/>
  <c r="V208" i="80"/>
  <c r="V177" i="80"/>
  <c r="N101" i="80"/>
  <c r="N113" i="80" s="1"/>
  <c r="N100" i="80"/>
  <c r="N112" i="80" s="1"/>
  <c r="N86" i="83"/>
  <c r="N157" i="83" s="1"/>
  <c r="N27" i="71" s="1"/>
  <c r="N132" i="71" s="1"/>
  <c r="N76" i="80"/>
  <c r="N88" i="80" s="1"/>
  <c r="N114" i="83"/>
  <c r="N219" i="83" s="1"/>
  <c r="N91" i="71" s="1"/>
  <c r="N196" i="71" s="1"/>
  <c r="N71" i="80"/>
  <c r="N83" i="80" s="1"/>
  <c r="N116" i="80"/>
  <c r="N128" i="80" s="1"/>
  <c r="N111" i="83"/>
  <c r="N216" i="83" s="1"/>
  <c r="N88" i="71" s="1"/>
  <c r="N193" i="71" s="1"/>
  <c r="N94" i="80"/>
  <c r="N106" i="80" s="1"/>
  <c r="N119" i="80"/>
  <c r="N131" i="80" s="1"/>
  <c r="N107" i="83"/>
  <c r="N212" i="83" s="1"/>
  <c r="N84" i="71" s="1"/>
  <c r="N189" i="71" s="1"/>
  <c r="N96" i="80"/>
  <c r="N108" i="80" s="1"/>
  <c r="N72" i="80"/>
  <c r="N84" i="80" s="1"/>
  <c r="N89" i="83"/>
  <c r="N160" i="83" s="1"/>
  <c r="N30" i="71" s="1"/>
  <c r="N135" i="71" s="1"/>
  <c r="N81" i="83"/>
  <c r="N152" i="83" s="1"/>
  <c r="N22" i="71" s="1"/>
  <c r="N127" i="71" s="1"/>
  <c r="N108" i="83"/>
  <c r="N213" i="83" s="1"/>
  <c r="N85" i="71" s="1"/>
  <c r="N190" i="71" s="1"/>
  <c r="N95" i="80"/>
  <c r="N107" i="80" s="1"/>
  <c r="N87" i="83"/>
  <c r="N158" i="83" s="1"/>
  <c r="N28" i="71" s="1"/>
  <c r="N133" i="71" s="1"/>
  <c r="N98" i="83"/>
  <c r="N186" i="83" s="1"/>
  <c r="N57" i="71" s="1"/>
  <c r="N162" i="71" s="1"/>
  <c r="N94" i="83"/>
  <c r="N182" i="83" s="1"/>
  <c r="N53" i="71" s="1"/>
  <c r="N158" i="71" s="1"/>
  <c r="N78" i="80"/>
  <c r="N90" i="80" s="1"/>
  <c r="N113" i="83"/>
  <c r="N218" i="83" s="1"/>
  <c r="N90" i="71" s="1"/>
  <c r="N195" i="71" s="1"/>
  <c r="N112" i="83"/>
  <c r="N217" i="83" s="1"/>
  <c r="N89" i="71" s="1"/>
  <c r="N194" i="71" s="1"/>
  <c r="N85" i="83"/>
  <c r="N156" i="83" s="1"/>
  <c r="N26" i="71" s="1"/>
  <c r="N131" i="71" s="1"/>
  <c r="N100" i="83"/>
  <c r="N188" i="83" s="1"/>
  <c r="N59" i="71" s="1"/>
  <c r="N164" i="71" s="1"/>
  <c r="N99" i="83"/>
  <c r="N187" i="83" s="1"/>
  <c r="N58" i="71" s="1"/>
  <c r="N163" i="71" s="1"/>
  <c r="N120" i="80"/>
  <c r="N132" i="80" s="1"/>
  <c r="U176" i="80"/>
  <c r="U177" i="80" s="1"/>
  <c r="U208" i="80"/>
  <c r="N123" i="80"/>
  <c r="N135" i="80" s="1"/>
  <c r="X208" i="80"/>
  <c r="W176" i="80"/>
  <c r="W177" i="80" s="1"/>
  <c r="N106" i="83"/>
  <c r="N211" i="83" s="1"/>
  <c r="N83" i="71" s="1"/>
  <c r="N188" i="71" s="1"/>
  <c r="N95" i="83"/>
  <c r="N183" i="83" s="1"/>
  <c r="N54" i="71" s="1"/>
  <c r="N159" i="71" s="1"/>
  <c r="X177" i="80"/>
  <c r="N117" i="80"/>
  <c r="N129" i="80" s="1"/>
  <c r="N105" i="83"/>
  <c r="N210" i="83" s="1"/>
  <c r="N82" i="71" s="1"/>
  <c r="N187" i="71" s="1"/>
  <c r="R21" i="31"/>
  <c r="R23" i="31" s="1"/>
  <c r="S20" i="31"/>
  <c r="S21" i="31" s="1"/>
  <c r="S23" i="31" s="1"/>
  <c r="N74" i="80"/>
  <c r="N86" i="80" s="1"/>
  <c r="N124" i="80"/>
  <c r="N136" i="80" s="1"/>
  <c r="S98" i="105"/>
  <c r="S100" i="105"/>
  <c r="S108" i="105"/>
  <c r="O110" i="83"/>
  <c r="O215" i="83" s="1"/>
  <c r="O87" i="71" s="1"/>
  <c r="O120" i="80"/>
  <c r="O132" i="80" s="1"/>
  <c r="O114" i="83"/>
  <c r="O219" i="83" s="1"/>
  <c r="O91" i="71" s="1"/>
  <c r="O124" i="80"/>
  <c r="O136" i="80" s="1"/>
  <c r="O96" i="83"/>
  <c r="O184" i="83" s="1"/>
  <c r="O55" i="71" s="1"/>
  <c r="O95" i="80"/>
  <c r="O107" i="80" s="1"/>
  <c r="O113" i="83"/>
  <c r="O218" i="83" s="1"/>
  <c r="O90" i="71" s="1"/>
  <c r="O123" i="80"/>
  <c r="O135" i="80" s="1"/>
  <c r="O84" i="83"/>
  <c r="O155" i="83" s="1"/>
  <c r="O25" i="71" s="1"/>
  <c r="O72" i="80"/>
  <c r="O84" i="80" s="1"/>
  <c r="O83" i="83"/>
  <c r="O154" i="83" s="1"/>
  <c r="O24" i="71" s="1"/>
  <c r="O71" i="80"/>
  <c r="O83" i="80" s="1"/>
  <c r="O97" i="83"/>
  <c r="O185" i="83" s="1"/>
  <c r="O56" i="71" s="1"/>
  <c r="O96" i="80"/>
  <c r="O108" i="80" s="1"/>
  <c r="P107" i="83"/>
  <c r="P212" i="83" s="1"/>
  <c r="P84" i="71" s="1"/>
  <c r="P117" i="80"/>
  <c r="P129" i="80" s="1"/>
  <c r="P114" i="83"/>
  <c r="P219" i="83" s="1"/>
  <c r="P91" i="71" s="1"/>
  <c r="P124" i="80"/>
  <c r="P136" i="80" s="1"/>
  <c r="P112" i="83"/>
  <c r="P217" i="83" s="1"/>
  <c r="P89" i="71" s="1"/>
  <c r="P122" i="80"/>
  <c r="P134" i="80" s="1"/>
  <c r="P94" i="83"/>
  <c r="P182" i="83" s="1"/>
  <c r="P53" i="71" s="1"/>
  <c r="P93" i="83"/>
  <c r="P181" i="83" s="1"/>
  <c r="P52" i="71" s="1"/>
  <c r="P93" i="80"/>
  <c r="P105" i="80" s="1"/>
  <c r="P82" i="83"/>
  <c r="P153" i="83" s="1"/>
  <c r="P23" i="71" s="1"/>
  <c r="P81" i="83"/>
  <c r="P152" i="83" s="1"/>
  <c r="P22" i="71" s="1"/>
  <c r="P70" i="80"/>
  <c r="P82" i="80" s="1"/>
  <c r="P88" i="83"/>
  <c r="P159" i="83" s="1"/>
  <c r="P29" i="71" s="1"/>
  <c r="P76" i="80"/>
  <c r="P88" i="80" s="1"/>
  <c r="O109" i="83"/>
  <c r="O214" i="83" s="1"/>
  <c r="O86" i="71" s="1"/>
  <c r="O119" i="80"/>
  <c r="O131" i="80" s="1"/>
  <c r="O82" i="83"/>
  <c r="O153" i="83" s="1"/>
  <c r="O23" i="71" s="1"/>
  <c r="O81" i="83"/>
  <c r="O152" i="83" s="1"/>
  <c r="O22" i="71" s="1"/>
  <c r="O70" i="80"/>
  <c r="O82" i="80" s="1"/>
  <c r="O89" i="83"/>
  <c r="O160" i="83" s="1"/>
  <c r="O30" i="71" s="1"/>
  <c r="O77" i="80"/>
  <c r="O89" i="80" s="1"/>
  <c r="O90" i="83"/>
  <c r="O161" i="83" s="1"/>
  <c r="O31" i="71" s="1"/>
  <c r="O78" i="80"/>
  <c r="O90" i="80" s="1"/>
  <c r="O111" i="83"/>
  <c r="O216" i="83" s="1"/>
  <c r="O88" i="71" s="1"/>
  <c r="O121" i="80"/>
  <c r="O133" i="80" s="1"/>
  <c r="O88" i="83"/>
  <c r="O159" i="83" s="1"/>
  <c r="O29" i="71" s="1"/>
  <c r="O76" i="80"/>
  <c r="O88" i="80" s="1"/>
  <c r="P95" i="83"/>
  <c r="P183" i="83" s="1"/>
  <c r="P54" i="71" s="1"/>
  <c r="P94" i="80"/>
  <c r="P106" i="80" s="1"/>
  <c r="P90" i="83"/>
  <c r="P161" i="83" s="1"/>
  <c r="P31" i="71" s="1"/>
  <c r="P78" i="80"/>
  <c r="P90" i="80" s="1"/>
  <c r="P84" i="83"/>
  <c r="P155" i="83" s="1"/>
  <c r="P25" i="71" s="1"/>
  <c r="P72" i="80"/>
  <c r="P84" i="80" s="1"/>
  <c r="P99" i="83"/>
  <c r="P187" i="83" s="1"/>
  <c r="P58" i="71" s="1"/>
  <c r="P98" i="80"/>
  <c r="P110" i="80" s="1"/>
  <c r="P113" i="83"/>
  <c r="P218" i="83" s="1"/>
  <c r="P90" i="71" s="1"/>
  <c r="P123" i="80"/>
  <c r="P135" i="80" s="1"/>
  <c r="P87" i="83"/>
  <c r="P158" i="83" s="1"/>
  <c r="P28" i="71" s="1"/>
  <c r="P75" i="80"/>
  <c r="P87" i="80" s="1"/>
  <c r="P110" i="83"/>
  <c r="P215" i="83" s="1"/>
  <c r="P87" i="71" s="1"/>
  <c r="P120" i="80"/>
  <c r="P132" i="80" s="1"/>
  <c r="O108" i="83"/>
  <c r="O213" i="83" s="1"/>
  <c r="O85" i="71" s="1"/>
  <c r="O118" i="80"/>
  <c r="O130" i="80" s="1"/>
  <c r="O87" i="83"/>
  <c r="O158" i="83" s="1"/>
  <c r="O28" i="71" s="1"/>
  <c r="O75" i="80"/>
  <c r="O87" i="80" s="1"/>
  <c r="O106" i="83"/>
  <c r="O211" i="83" s="1"/>
  <c r="O83" i="71" s="1"/>
  <c r="O105" i="83"/>
  <c r="O210" i="83" s="1"/>
  <c r="O82" i="71" s="1"/>
  <c r="O116" i="80"/>
  <c r="O128" i="80" s="1"/>
  <c r="O102" i="83"/>
  <c r="O190" i="83" s="1"/>
  <c r="O61" i="71" s="1"/>
  <c r="O101" i="80"/>
  <c r="O113" i="80" s="1"/>
  <c r="O107" i="83"/>
  <c r="O212" i="83" s="1"/>
  <c r="O84" i="71" s="1"/>
  <c r="O117" i="80"/>
  <c r="O129" i="80" s="1"/>
  <c r="O85" i="83"/>
  <c r="O156" i="83" s="1"/>
  <c r="O26" i="71" s="1"/>
  <c r="O73" i="80"/>
  <c r="O85" i="80" s="1"/>
  <c r="O101" i="83"/>
  <c r="O189" i="83" s="1"/>
  <c r="O60" i="71" s="1"/>
  <c r="O100" i="80"/>
  <c r="O112" i="80" s="1"/>
  <c r="P111" i="83"/>
  <c r="P216" i="83" s="1"/>
  <c r="P88" i="71" s="1"/>
  <c r="P121" i="80"/>
  <c r="P133" i="80" s="1"/>
  <c r="P98" i="83"/>
  <c r="P186" i="83" s="1"/>
  <c r="P57" i="71" s="1"/>
  <c r="P97" i="80"/>
  <c r="P109" i="80" s="1"/>
  <c r="P102" i="83"/>
  <c r="P190" i="83" s="1"/>
  <c r="P61" i="71" s="1"/>
  <c r="P101" i="80"/>
  <c r="P113" i="80" s="1"/>
  <c r="P97" i="83"/>
  <c r="P185" i="83" s="1"/>
  <c r="P56" i="71" s="1"/>
  <c r="P96" i="80"/>
  <c r="P108" i="80" s="1"/>
  <c r="P96" i="83"/>
  <c r="P184" i="83" s="1"/>
  <c r="P55" i="71" s="1"/>
  <c r="P95" i="80"/>
  <c r="P107" i="80" s="1"/>
  <c r="P109" i="83"/>
  <c r="P214" i="83" s="1"/>
  <c r="P86" i="71" s="1"/>
  <c r="P119" i="80"/>
  <c r="P131" i="80" s="1"/>
  <c r="P108" i="83"/>
  <c r="P213" i="83" s="1"/>
  <c r="P85" i="71" s="1"/>
  <c r="P118" i="80"/>
  <c r="P130" i="80" s="1"/>
  <c r="O99" i="83"/>
  <c r="O187" i="83" s="1"/>
  <c r="O58" i="71" s="1"/>
  <c r="O98" i="80"/>
  <c r="O110" i="80" s="1"/>
  <c r="O94" i="83"/>
  <c r="O182" i="83" s="1"/>
  <c r="O53" i="71" s="1"/>
  <c r="O93" i="83"/>
  <c r="O181" i="83" s="1"/>
  <c r="O52" i="71" s="1"/>
  <c r="O93" i="80"/>
  <c r="O105" i="80" s="1"/>
  <c r="O86" i="83"/>
  <c r="O157" i="83" s="1"/>
  <c r="O27" i="71" s="1"/>
  <c r="O74" i="80"/>
  <c r="O86" i="80" s="1"/>
  <c r="O100" i="83"/>
  <c r="O188" i="83" s="1"/>
  <c r="O59" i="71" s="1"/>
  <c r="O99" i="80"/>
  <c r="O111" i="80" s="1"/>
  <c r="O95" i="83"/>
  <c r="O183" i="83" s="1"/>
  <c r="O54" i="71" s="1"/>
  <c r="O94" i="80"/>
  <c r="O106" i="80" s="1"/>
  <c r="O98" i="83"/>
  <c r="O186" i="83" s="1"/>
  <c r="O57" i="71" s="1"/>
  <c r="O97" i="80"/>
  <c r="O109" i="80" s="1"/>
  <c r="O112" i="83"/>
  <c r="O217" i="83" s="1"/>
  <c r="O89" i="71" s="1"/>
  <c r="O122" i="80"/>
  <c r="O134" i="80" s="1"/>
  <c r="P89" i="83"/>
  <c r="P160" i="83" s="1"/>
  <c r="P30" i="71" s="1"/>
  <c r="P77" i="80"/>
  <c r="P89" i="80" s="1"/>
  <c r="P101" i="83"/>
  <c r="P189" i="83" s="1"/>
  <c r="P60" i="71" s="1"/>
  <c r="P100" i="80"/>
  <c r="P112" i="80" s="1"/>
  <c r="P85" i="83"/>
  <c r="P156" i="83" s="1"/>
  <c r="P26" i="71" s="1"/>
  <c r="P73" i="80"/>
  <c r="P85" i="80" s="1"/>
  <c r="P106" i="83"/>
  <c r="P211" i="83" s="1"/>
  <c r="P83" i="71" s="1"/>
  <c r="P105" i="83"/>
  <c r="P210" i="83" s="1"/>
  <c r="P82" i="71" s="1"/>
  <c r="P116" i="80"/>
  <c r="P128" i="80" s="1"/>
  <c r="P100" i="83"/>
  <c r="P188" i="83" s="1"/>
  <c r="P59" i="71" s="1"/>
  <c r="P99" i="80"/>
  <c r="P111" i="80" s="1"/>
  <c r="P86" i="83"/>
  <c r="P157" i="83" s="1"/>
  <c r="P27" i="71" s="1"/>
  <c r="P74" i="80"/>
  <c r="P86" i="80" s="1"/>
  <c r="P83" i="83"/>
  <c r="P154" i="83" s="1"/>
  <c r="P24" i="71" s="1"/>
  <c r="P71" i="80"/>
  <c r="P83" i="80" s="1"/>
  <c r="A4" i="111"/>
  <c r="N166" i="71"/>
  <c r="R73" i="74"/>
  <c r="R72" i="74"/>
  <c r="N191" i="71"/>
  <c r="N165" i="71"/>
  <c r="R76" i="74"/>
  <c r="R75" i="74"/>
  <c r="R78" i="74"/>
  <c r="R77" i="74"/>
  <c r="R74" i="74"/>
  <c r="R56" i="41"/>
  <c r="T208" i="80" l="1"/>
  <c r="R134" i="65"/>
  <c r="R49" i="105" s="1"/>
  <c r="R88" i="105" s="1"/>
  <c r="R114" i="65"/>
  <c r="R143" i="65" s="1"/>
  <c r="R123" i="65"/>
  <c r="R152" i="65" s="1"/>
  <c r="R67" i="105" s="1"/>
  <c r="R185" i="105" s="1"/>
  <c r="M279" i="53"/>
  <c r="M294" i="53"/>
  <c r="M278" i="53"/>
  <c r="M277" i="53"/>
  <c r="M75" i="80" s="1"/>
  <c r="M87" i="80" s="1"/>
  <c r="M286" i="53"/>
  <c r="M301" i="53"/>
  <c r="M275" i="53"/>
  <c r="M298" i="53"/>
  <c r="J296" i="53"/>
  <c r="J275" i="53"/>
  <c r="J295" i="53"/>
  <c r="J285" i="53"/>
  <c r="J287" i="53"/>
  <c r="J299" i="53"/>
  <c r="J294" i="53"/>
  <c r="J280" i="53"/>
  <c r="J289" i="53"/>
  <c r="J277" i="53"/>
  <c r="J291" i="53"/>
  <c r="J273" i="53"/>
  <c r="J283" i="53"/>
  <c r="J290" i="53"/>
  <c r="J300" i="53"/>
  <c r="J288" i="53"/>
  <c r="J278" i="53"/>
  <c r="J276" i="53"/>
  <c r="J286" i="53"/>
  <c r="J284" i="53"/>
  <c r="J301" i="53"/>
  <c r="J279" i="53"/>
  <c r="J302" i="53"/>
  <c r="J274" i="53"/>
  <c r="J297" i="53"/>
  <c r="J272" i="53"/>
  <c r="J298" i="53"/>
  <c r="L284" i="53"/>
  <c r="L295" i="53"/>
  <c r="L274" i="53"/>
  <c r="L278" i="53"/>
  <c r="L289" i="53"/>
  <c r="L294" i="53"/>
  <c r="L297" i="53"/>
  <c r="L279" i="53"/>
  <c r="L272" i="53"/>
  <c r="L302" i="53"/>
  <c r="L300" i="53"/>
  <c r="L299" i="53"/>
  <c r="L285" i="53"/>
  <c r="L277" i="53"/>
  <c r="L296" i="53"/>
  <c r="L287" i="53"/>
  <c r="L291" i="53"/>
  <c r="L288" i="53"/>
  <c r="L273" i="53"/>
  <c r="L280" i="53"/>
  <c r="L283" i="53"/>
  <c r="L298" i="53"/>
  <c r="L276" i="53"/>
  <c r="L286" i="53"/>
  <c r="L275" i="53"/>
  <c r="L301" i="53"/>
  <c r="L290" i="53"/>
  <c r="K279" i="53"/>
  <c r="K290" i="53"/>
  <c r="K272" i="53"/>
  <c r="K284" i="53"/>
  <c r="K295" i="53"/>
  <c r="K277" i="53"/>
  <c r="K301" i="53"/>
  <c r="K302" i="53"/>
  <c r="K299" i="53"/>
  <c r="K274" i="53"/>
  <c r="K278" i="53"/>
  <c r="K288" i="53"/>
  <c r="K276" i="53"/>
  <c r="K296" i="53"/>
  <c r="K285" i="53"/>
  <c r="K300" i="53"/>
  <c r="K287" i="53"/>
  <c r="K289" i="53"/>
  <c r="K297" i="53"/>
  <c r="K294" i="53"/>
  <c r="K286" i="53"/>
  <c r="K283" i="53"/>
  <c r="K291" i="53"/>
  <c r="K280" i="53"/>
  <c r="K273" i="53"/>
  <c r="K275" i="53"/>
  <c r="K298" i="53"/>
  <c r="M272" i="53"/>
  <c r="M276" i="53"/>
  <c r="M287" i="53"/>
  <c r="M302" i="53"/>
  <c r="M296" i="53"/>
  <c r="M299" i="53"/>
  <c r="M111" i="83" s="1"/>
  <c r="M216" i="83" s="1"/>
  <c r="M88" i="71" s="1"/>
  <c r="M193" i="71" s="1"/>
  <c r="M289" i="53"/>
  <c r="M300" i="53"/>
  <c r="M280" i="53"/>
  <c r="M291" i="53"/>
  <c r="M290" i="53"/>
  <c r="M288" i="53"/>
  <c r="M99" i="83" s="1"/>
  <c r="M187" i="83" s="1"/>
  <c r="M58" i="71" s="1"/>
  <c r="M163" i="71" s="1"/>
  <c r="M284" i="53"/>
  <c r="M274" i="53"/>
  <c r="M295" i="53"/>
  <c r="M297" i="53"/>
  <c r="M285" i="53"/>
  <c r="M283" i="53"/>
  <c r="M273" i="53"/>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N118" i="80"/>
  <c r="N130" i="80" s="1"/>
  <c r="N144" i="80" s="1"/>
  <c r="N170" i="80" s="1"/>
  <c r="N99" i="80"/>
  <c r="N111" i="80" s="1"/>
  <c r="N73" i="80"/>
  <c r="N85" i="80" s="1"/>
  <c r="N145" i="80" s="1"/>
  <c r="N171" i="80" s="1"/>
  <c r="N90" i="83"/>
  <c r="N161" i="83" s="1"/>
  <c r="N31" i="71" s="1"/>
  <c r="N136" i="71" s="1"/>
  <c r="N96" i="83"/>
  <c r="N184" i="83" s="1"/>
  <c r="N55" i="71" s="1"/>
  <c r="N160" i="71" s="1"/>
  <c r="N110" i="83"/>
  <c r="N215" i="83" s="1"/>
  <c r="N87" i="71" s="1"/>
  <c r="N192" i="71" s="1"/>
  <c r="N84" i="83"/>
  <c r="N155" i="83" s="1"/>
  <c r="N25" i="71" s="1"/>
  <c r="N130" i="71" s="1"/>
  <c r="N97" i="80"/>
  <c r="N109" i="80" s="1"/>
  <c r="N146" i="80" s="1"/>
  <c r="N172" i="80" s="1"/>
  <c r="N122" i="80"/>
  <c r="N134" i="80" s="1"/>
  <c r="N82" i="83"/>
  <c r="N153" i="83" s="1"/>
  <c r="N23" i="71" s="1"/>
  <c r="N128" i="71" s="1"/>
  <c r="N70" i="80"/>
  <c r="N82" i="80" s="1"/>
  <c r="N121" i="80"/>
  <c r="N133" i="80" s="1"/>
  <c r="N83" i="83"/>
  <c r="N154" i="83" s="1"/>
  <c r="N24" i="71" s="1"/>
  <c r="N129" i="71" s="1"/>
  <c r="N88" i="83"/>
  <c r="N159" i="83" s="1"/>
  <c r="N29" i="71" s="1"/>
  <c r="N134" i="71" s="1"/>
  <c r="N98" i="80"/>
  <c r="N110" i="80" s="1"/>
  <c r="N77" i="80"/>
  <c r="N89" i="80" s="1"/>
  <c r="N149" i="80" s="1"/>
  <c r="N175" i="80" s="1"/>
  <c r="N93" i="83"/>
  <c r="N181" i="83" s="1"/>
  <c r="N52" i="71" s="1"/>
  <c r="N157" i="71" s="1"/>
  <c r="N93" i="80"/>
  <c r="N105" i="80" s="1"/>
  <c r="N75" i="80"/>
  <c r="N87" i="80" s="1"/>
  <c r="N97" i="83"/>
  <c r="N185" i="83" s="1"/>
  <c r="N56" i="71" s="1"/>
  <c r="N161" i="71" s="1"/>
  <c r="N150" i="80"/>
  <c r="N176" i="80" s="1"/>
  <c r="N143" i="80"/>
  <c r="N169" i="80" s="1"/>
  <c r="H214" i="80" a="1"/>
  <c r="H183" i="31" a="1"/>
  <c r="H183" i="31" s="1"/>
  <c r="O145" i="80"/>
  <c r="O171" i="80" s="1"/>
  <c r="P146" i="80"/>
  <c r="P172" i="80" s="1"/>
  <c r="P143" i="80"/>
  <c r="P169" i="80" s="1"/>
  <c r="P145" i="80"/>
  <c r="P171" i="80" s="1"/>
  <c r="P149" i="80"/>
  <c r="P175" i="80"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P144" i="80"/>
  <c r="P170" i="80" s="1"/>
  <c r="O149" i="80"/>
  <c r="O175" i="80" s="1"/>
  <c r="P142" i="80"/>
  <c r="P168" i="80" s="1"/>
  <c r="O144" i="80"/>
  <c r="O170"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O147" i="80"/>
  <c r="O173"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O146" i="80"/>
  <c r="O172" i="80" s="1"/>
  <c r="P147" i="80"/>
  <c r="P173" i="80" s="1"/>
  <c r="P150" i="80"/>
  <c r="O148" i="80"/>
  <c r="O174" i="80" s="1"/>
  <c r="O150" i="80"/>
  <c r="O142" i="80"/>
  <c r="O168" i="80" s="1"/>
  <c r="P148" i="80"/>
  <c r="P174" i="80" s="1"/>
  <c r="O143" i="80"/>
  <c r="O169" i="80" s="1"/>
  <c r="O99" i="105"/>
  <c r="R58" i="105"/>
  <c r="R174" i="105" s="1"/>
  <c r="R99" i="105"/>
  <c r="P99" i="105"/>
  <c r="R109" i="105"/>
  <c r="R55" i="41"/>
  <c r="M87" i="83" l="1"/>
  <c r="M158" i="83" s="1"/>
  <c r="M28" i="71" s="1"/>
  <c r="M133" i="71" s="1"/>
  <c r="N148" i="80"/>
  <c r="N174" i="80" s="1"/>
  <c r="N142" i="80"/>
  <c r="N168" i="80" s="1"/>
  <c r="N208" i="80"/>
  <c r="N147" i="80"/>
  <c r="N173" i="80" s="1"/>
  <c r="K96" i="83"/>
  <c r="K184" i="83" s="1"/>
  <c r="K55" i="71" s="1"/>
  <c r="K160" i="71" s="1"/>
  <c r="L96" i="83"/>
  <c r="L184" i="83" s="1"/>
  <c r="L55" i="71" s="1"/>
  <c r="L160" i="71" s="1"/>
  <c r="M121" i="80"/>
  <c r="M133" i="80" s="1"/>
  <c r="L90" i="83"/>
  <c r="L161" i="83" s="1"/>
  <c r="L31" i="71" s="1"/>
  <c r="L136" i="71" s="1"/>
  <c r="H222" i="80"/>
  <c r="H220" i="80"/>
  <c r="H232" i="80" s="1"/>
  <c r="H221" i="80"/>
  <c r="H233" i="80" s="1"/>
  <c r="H217" i="80"/>
  <c r="H229" i="80" s="1"/>
  <c r="H214" i="80"/>
  <c r="H226" i="80" s="1"/>
  <c r="H216" i="80"/>
  <c r="H228" i="80" s="1"/>
  <c r="H218" i="80"/>
  <c r="H230" i="80" s="1"/>
  <c r="H215" i="80"/>
  <c r="H227" i="80" s="1"/>
  <c r="H219" i="80"/>
  <c r="H231" i="80" s="1"/>
  <c r="R148" i="80"/>
  <c r="R174" i="80" s="1"/>
  <c r="S144" i="80"/>
  <c r="S170" i="80" s="1"/>
  <c r="R142" i="80"/>
  <c r="R168" i="80" s="1"/>
  <c r="J39" i="55"/>
  <c r="A4" i="31"/>
  <c r="S143" i="80"/>
  <c r="S169" i="80" s="1"/>
  <c r="M98" i="80"/>
  <c r="M110" i="80" s="1"/>
  <c r="K73" i="80"/>
  <c r="K85" i="80" s="1"/>
  <c r="L116" i="80"/>
  <c r="L128" i="80" s="1"/>
  <c r="S150" i="80"/>
  <c r="S208" i="80" s="1"/>
  <c r="L112" i="83"/>
  <c r="L217" i="83" s="1"/>
  <c r="L89" i="71" s="1"/>
  <c r="L194" i="71" s="1"/>
  <c r="R146" i="80"/>
  <c r="R172" i="80" s="1"/>
  <c r="L98" i="80"/>
  <c r="L110" i="80" s="1"/>
  <c r="L81" i="83"/>
  <c r="L152" i="83" s="1"/>
  <c r="L89" i="83"/>
  <c r="L160" i="83" s="1"/>
  <c r="L30" i="71" s="1"/>
  <c r="L135" i="71" s="1"/>
  <c r="K77" i="80"/>
  <c r="K89" i="80" s="1"/>
  <c r="S142" i="80"/>
  <c r="S168" i="80" s="1"/>
  <c r="L101" i="83"/>
  <c r="L189" i="83" s="1"/>
  <c r="L60" i="71" s="1"/>
  <c r="L165" i="71" s="1"/>
  <c r="K84" i="83"/>
  <c r="K155" i="83" s="1"/>
  <c r="K25" i="71" s="1"/>
  <c r="K130" i="71" s="1"/>
  <c r="L98" i="83"/>
  <c r="L186" i="83" s="1"/>
  <c r="L57" i="71" s="1"/>
  <c r="L162" i="71" s="1"/>
  <c r="K101" i="83"/>
  <c r="K189" i="83" s="1"/>
  <c r="K60" i="71" s="1"/>
  <c r="K165" i="71" s="1"/>
  <c r="L74" i="80"/>
  <c r="L86" i="80" s="1"/>
  <c r="S22" i="71"/>
  <c r="K102" i="83"/>
  <c r="K190" i="83" s="1"/>
  <c r="K61" i="71" s="1"/>
  <c r="K166" i="71" s="1"/>
  <c r="K101" i="80"/>
  <c r="K113" i="80" s="1"/>
  <c r="L109" i="83"/>
  <c r="L214" i="83" s="1"/>
  <c r="L86" i="71" s="1"/>
  <c r="L191" i="71" s="1"/>
  <c r="L119" i="80"/>
  <c r="L131" i="80" s="1"/>
  <c r="L102" i="83"/>
  <c r="L190" i="83" s="1"/>
  <c r="L61" i="71" s="1"/>
  <c r="L166" i="71" s="1"/>
  <c r="L101" i="80"/>
  <c r="L113" i="80" s="1"/>
  <c r="K114" i="83"/>
  <c r="K219" i="83" s="1"/>
  <c r="K91" i="71" s="1"/>
  <c r="K196" i="71" s="1"/>
  <c r="K124" i="80"/>
  <c r="K136" i="80" s="1"/>
  <c r="K95" i="83"/>
  <c r="K183" i="83" s="1"/>
  <c r="K54" i="71" s="1"/>
  <c r="K159" i="71" s="1"/>
  <c r="K94" i="80"/>
  <c r="K106" i="80" s="1"/>
  <c r="K112" i="83"/>
  <c r="K217" i="83" s="1"/>
  <c r="K89" i="71" s="1"/>
  <c r="K194" i="71" s="1"/>
  <c r="K122" i="80"/>
  <c r="K134" i="80" s="1"/>
  <c r="K99" i="83"/>
  <c r="K187" i="83" s="1"/>
  <c r="K58" i="71" s="1"/>
  <c r="K163" i="71" s="1"/>
  <c r="K98" i="80"/>
  <c r="K110" i="80" s="1"/>
  <c r="P208" i="80"/>
  <c r="P176" i="80"/>
  <c r="P177" i="80" s="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L107" i="83"/>
  <c r="L212" i="83" s="1"/>
  <c r="L84" i="71" s="1"/>
  <c r="L189" i="71" s="1"/>
  <c r="L117" i="80"/>
  <c r="L129" i="80" s="1"/>
  <c r="L87" i="83"/>
  <c r="L158" i="83" s="1"/>
  <c r="L28" i="71" s="1"/>
  <c r="L133" i="71" s="1"/>
  <c r="L75" i="80"/>
  <c r="L87" i="80" s="1"/>
  <c r="L84" i="83"/>
  <c r="L155" i="83" s="1"/>
  <c r="L25" i="71" s="1"/>
  <c r="L130" i="71" s="1"/>
  <c r="L72" i="80"/>
  <c r="L84"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L94" i="83"/>
  <c r="L182" i="83" s="1"/>
  <c r="L53" i="71" s="1"/>
  <c r="L158" i="71" s="1"/>
  <c r="L93" i="83"/>
  <c r="L181" i="83" s="1"/>
  <c r="L93" i="80"/>
  <c r="L105" i="80" s="1"/>
  <c r="K86" i="83"/>
  <c r="K157" i="83" s="1"/>
  <c r="K27" i="71" s="1"/>
  <c r="K132" i="71" s="1"/>
  <c r="K74" i="80"/>
  <c r="K86" i="80" s="1"/>
  <c r="L100" i="83"/>
  <c r="L188" i="83" s="1"/>
  <c r="L59" i="71" s="1"/>
  <c r="L164" i="71" s="1"/>
  <c r="L99" i="80"/>
  <c r="L111" i="80" s="1"/>
  <c r="K111" i="83"/>
  <c r="K216" i="83" s="1"/>
  <c r="K88" i="71" s="1"/>
  <c r="K193" i="71" s="1"/>
  <c r="K121" i="80"/>
  <c r="K133" i="80" s="1"/>
  <c r="K97" i="83"/>
  <c r="K185" i="83" s="1"/>
  <c r="K56" i="71" s="1"/>
  <c r="K161" i="71" s="1"/>
  <c r="K96" i="80"/>
  <c r="K108" i="80" s="1"/>
  <c r="K108" i="83"/>
  <c r="K213" i="83" s="1"/>
  <c r="K85" i="71" s="1"/>
  <c r="K190" i="71" s="1"/>
  <c r="K118" i="80"/>
  <c r="K130" i="80" s="1"/>
  <c r="K87" i="83"/>
  <c r="K158" i="83" s="1"/>
  <c r="K28" i="71" s="1"/>
  <c r="K133" i="71" s="1"/>
  <c r="K75" i="80"/>
  <c r="K87" i="80" s="1"/>
  <c r="K113" i="83"/>
  <c r="K218" i="83" s="1"/>
  <c r="K90" i="71" s="1"/>
  <c r="K195" i="71" s="1"/>
  <c r="K123" i="80"/>
  <c r="K135" i="80" s="1"/>
  <c r="O208" i="80"/>
  <c r="O176" i="80"/>
  <c r="O177"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L113" i="83"/>
  <c r="L218" i="83" s="1"/>
  <c r="L90" i="71" s="1"/>
  <c r="L195" i="71" s="1"/>
  <c r="L123" i="80"/>
  <c r="L135" i="80" s="1"/>
  <c r="L114" i="83"/>
  <c r="L219" i="83" s="1"/>
  <c r="L91" i="71" s="1"/>
  <c r="L196" i="71" s="1"/>
  <c r="L124" i="80"/>
  <c r="L136" i="80" s="1"/>
  <c r="K90" i="83"/>
  <c r="K161" i="83" s="1"/>
  <c r="K31" i="71" s="1"/>
  <c r="K136" i="71" s="1"/>
  <c r="K78" i="80"/>
  <c r="K90" i="80" s="1"/>
  <c r="K82" i="83"/>
  <c r="K153" i="83" s="1"/>
  <c r="K23" i="71" s="1"/>
  <c r="K128" i="71" s="1"/>
  <c r="K81" i="83"/>
  <c r="K152" i="83" s="1"/>
  <c r="K70" i="80"/>
  <c r="K82" i="80" s="1"/>
  <c r="L110" i="83"/>
  <c r="L215" i="83" s="1"/>
  <c r="L87" i="71" s="1"/>
  <c r="L192" i="71" s="1"/>
  <c r="L120" i="80"/>
  <c r="L132"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O158" i="71"/>
  <c r="R98" i="105"/>
  <c r="O98" i="105"/>
  <c r="R193" i="71"/>
  <c r="R165" i="71"/>
  <c r="R160" i="71"/>
  <c r="P98" i="105"/>
  <c r="R195" i="71"/>
  <c r="R194" i="71"/>
  <c r="R188" i="71"/>
  <c r="R164" i="71"/>
  <c r="R136" i="71"/>
  <c r="R161" i="71"/>
  <c r="R132" i="71"/>
  <c r="R159" i="71"/>
  <c r="O100" i="105"/>
  <c r="P100" i="105"/>
  <c r="O157" i="71"/>
  <c r="R187" i="71"/>
  <c r="R128" i="71"/>
  <c r="R108" i="105"/>
  <c r="R131" i="71"/>
  <c r="R162" i="71"/>
  <c r="R189" i="71"/>
  <c r="R163" i="71"/>
  <c r="R129" i="71"/>
  <c r="R134" i="71"/>
  <c r="R133" i="71"/>
  <c r="R158" i="71"/>
  <c r="R190" i="71"/>
  <c r="R192" i="71"/>
  <c r="R166" i="71"/>
  <c r="R135" i="71"/>
  <c r="R196" i="71"/>
  <c r="R191" i="71"/>
  <c r="R157" i="71"/>
  <c r="R130" i="71"/>
  <c r="O127" i="71"/>
  <c r="P157" i="71"/>
  <c r="N177" i="80" l="1"/>
  <c r="L22" i="71"/>
  <c r="L127" i="71" s="1"/>
  <c r="K22" i="71"/>
  <c r="K127" i="71" s="1"/>
  <c r="K72" i="80"/>
  <c r="K84" i="80" s="1"/>
  <c r="K95" i="80"/>
  <c r="K107" i="80" s="1"/>
  <c r="L95" i="80"/>
  <c r="L107" i="80" s="1"/>
  <c r="L99" i="83"/>
  <c r="L187" i="83" s="1"/>
  <c r="L58" i="71" s="1"/>
  <c r="L163" i="71" s="1"/>
  <c r="M147" i="80"/>
  <c r="M173" i="80" s="1"/>
  <c r="L78" i="80"/>
  <c r="L90" i="80" s="1"/>
  <c r="L150" i="80" s="1"/>
  <c r="L208" i="80" s="1"/>
  <c r="L86" i="83"/>
  <c r="L157" i="83" s="1"/>
  <c r="L27" i="71" s="1"/>
  <c r="L132" i="71" s="1"/>
  <c r="L82" i="83"/>
  <c r="L153" i="83" s="1"/>
  <c r="L23" i="71" s="1"/>
  <c r="L128" i="71" s="1"/>
  <c r="K85" i="83"/>
  <c r="K156" i="83" s="1"/>
  <c r="K26" i="71" s="1"/>
  <c r="K131" i="71" s="1"/>
  <c r="L105" i="83"/>
  <c r="L210" i="83" s="1"/>
  <c r="K100" i="80"/>
  <c r="K112" i="80" s="1"/>
  <c r="K149" i="80" s="1"/>
  <c r="K175" i="80" s="1"/>
  <c r="L106" i="83"/>
  <c r="L211" i="83" s="1"/>
  <c r="L83" i="71" s="1"/>
  <c r="L188" i="71" s="1"/>
  <c r="S241" i="80"/>
  <c r="Y254" i="80"/>
  <c r="T241" i="80"/>
  <c r="X241" i="80"/>
  <c r="W254" i="80"/>
  <c r="R254" i="80"/>
  <c r="V254" i="80"/>
  <c r="Y241" i="80"/>
  <c r="U241" i="80"/>
  <c r="U254" i="80"/>
  <c r="T254" i="80"/>
  <c r="H26" i="73"/>
  <c r="X254" i="80"/>
  <c r="S254" i="80"/>
  <c r="R241" i="80"/>
  <c r="W241" i="80"/>
  <c r="V241" i="80"/>
  <c r="N241" i="80"/>
  <c r="K241" i="80"/>
  <c r="L241" i="80"/>
  <c r="Q241" i="80"/>
  <c r="N254" i="80"/>
  <c r="L254" i="80"/>
  <c r="Q254" i="80"/>
  <c r="O241" i="80"/>
  <c r="P254" i="80"/>
  <c r="O254" i="80"/>
  <c r="P241" i="80"/>
  <c r="M241" i="80"/>
  <c r="J241" i="80"/>
  <c r="J254" i="80"/>
  <c r="H29" i="73"/>
  <c r="W257" i="80"/>
  <c r="U257" i="80"/>
  <c r="T244" i="80"/>
  <c r="X244" i="80"/>
  <c r="Y244" i="80"/>
  <c r="T257" i="80"/>
  <c r="V257" i="80"/>
  <c r="Y257" i="80"/>
  <c r="W244" i="80"/>
  <c r="R257" i="80"/>
  <c r="S244" i="80"/>
  <c r="R244" i="80"/>
  <c r="U244" i="80"/>
  <c r="V244" i="80"/>
  <c r="S257" i="80"/>
  <c r="X257" i="80"/>
  <c r="N244" i="80"/>
  <c r="O244" i="80"/>
  <c r="P257" i="80"/>
  <c r="L257" i="80"/>
  <c r="L244" i="80"/>
  <c r="N257" i="80"/>
  <c r="K244" i="80"/>
  <c r="O257" i="80"/>
  <c r="Q257" i="80"/>
  <c r="Q244" i="80"/>
  <c r="P244" i="80"/>
  <c r="M244" i="80"/>
  <c r="J244" i="80"/>
  <c r="J257" i="80"/>
  <c r="S176" i="80"/>
  <c r="S177" i="80" s="1"/>
  <c r="S240" i="80"/>
  <c r="X240" i="80"/>
  <c r="T240" i="80"/>
  <c r="V240" i="80"/>
  <c r="W253" i="80"/>
  <c r="R253" i="80"/>
  <c r="V253" i="80"/>
  <c r="H25" i="73"/>
  <c r="Y240" i="80"/>
  <c r="W240" i="80"/>
  <c r="U253" i="80"/>
  <c r="T253" i="80"/>
  <c r="S253" i="80"/>
  <c r="X253" i="80"/>
  <c r="Y253" i="80"/>
  <c r="R240" i="80"/>
  <c r="U240" i="80"/>
  <c r="K50" i="82" a="1"/>
  <c r="N240" i="80"/>
  <c r="N253" i="80"/>
  <c r="Q253" i="80"/>
  <c r="P240" i="80"/>
  <c r="O240" i="80"/>
  <c r="L253" i="80"/>
  <c r="P253" i="80"/>
  <c r="K240" i="80"/>
  <c r="L240" i="80"/>
  <c r="Q240" i="80"/>
  <c r="O253" i="80"/>
  <c r="J253" i="80"/>
  <c r="M240" i="80"/>
  <c r="J240" i="80"/>
  <c r="W255" i="80"/>
  <c r="S255" i="80"/>
  <c r="V255" i="80"/>
  <c r="U255" i="80"/>
  <c r="H27" i="73"/>
  <c r="W242" i="80"/>
  <c r="R242" i="80"/>
  <c r="V242" i="80"/>
  <c r="Y255" i="80"/>
  <c r="T255" i="80"/>
  <c r="U242" i="80"/>
  <c r="T242" i="80"/>
  <c r="R255" i="80"/>
  <c r="X255" i="80"/>
  <c r="S242" i="80"/>
  <c r="N242" i="80"/>
  <c r="Y242" i="80"/>
  <c r="X242" i="80"/>
  <c r="N255" i="80"/>
  <c r="O255" i="80"/>
  <c r="Q255" i="80"/>
  <c r="P242" i="80"/>
  <c r="O242" i="80"/>
  <c r="L242" i="80"/>
  <c r="K242" i="80"/>
  <c r="Q242" i="80"/>
  <c r="P255" i="80"/>
  <c r="L255" i="80"/>
  <c r="J255" i="80"/>
  <c r="J242" i="80"/>
  <c r="M242" i="80"/>
  <c r="H30" i="73"/>
  <c r="W258" i="80"/>
  <c r="R258" i="80"/>
  <c r="R245" i="80"/>
  <c r="V245" i="80"/>
  <c r="S245" i="80"/>
  <c r="U245" i="80"/>
  <c r="X245" i="80"/>
  <c r="Y258" i="80"/>
  <c r="T245" i="80"/>
  <c r="U258" i="80"/>
  <c r="W245" i="80"/>
  <c r="T258" i="80"/>
  <c r="S258" i="80"/>
  <c r="X258" i="80"/>
  <c r="Y245" i="80"/>
  <c r="V258" i="80"/>
  <c r="N245" i="80"/>
  <c r="K245" i="80"/>
  <c r="O245" i="80"/>
  <c r="L245" i="80"/>
  <c r="Q245" i="80"/>
  <c r="P245" i="80"/>
  <c r="N258" i="80"/>
  <c r="O258" i="80"/>
  <c r="Q258" i="80"/>
  <c r="L258" i="80"/>
  <c r="P258" i="80"/>
  <c r="J258" i="80"/>
  <c r="J245" i="80"/>
  <c r="M245" i="80"/>
  <c r="W239" i="80"/>
  <c r="W252" i="80"/>
  <c r="V252" i="80"/>
  <c r="T252" i="80"/>
  <c r="H24" i="73"/>
  <c r="Y239" i="80"/>
  <c r="U252" i="80"/>
  <c r="R239" i="80"/>
  <c r="S252" i="80"/>
  <c r="V239" i="80"/>
  <c r="N239" i="80"/>
  <c r="Y252" i="80"/>
  <c r="T239" i="80"/>
  <c r="S239" i="80"/>
  <c r="R252" i="80"/>
  <c r="X239" i="80"/>
  <c r="X252" i="80"/>
  <c r="H23" i="73"/>
  <c r="U239" i="80"/>
  <c r="O252" i="80"/>
  <c r="L239" i="80"/>
  <c r="Q239" i="80"/>
  <c r="P239" i="80"/>
  <c r="O239" i="80"/>
  <c r="Q252" i="80"/>
  <c r="P252" i="80"/>
  <c r="N252" i="80"/>
  <c r="K239" i="80"/>
  <c r="L252" i="80"/>
  <c r="J239" i="80"/>
  <c r="M239" i="80"/>
  <c r="J252" i="80"/>
  <c r="Y256" i="80"/>
  <c r="X243" i="80"/>
  <c r="R243" i="80"/>
  <c r="T243" i="80"/>
  <c r="S256" i="80"/>
  <c r="V243" i="80"/>
  <c r="R256" i="80"/>
  <c r="H28" i="73"/>
  <c r="S243" i="80"/>
  <c r="X256" i="80"/>
  <c r="V256" i="80"/>
  <c r="Y243" i="80"/>
  <c r="T256" i="80"/>
  <c r="W256" i="80"/>
  <c r="U256" i="80"/>
  <c r="W243" i="80"/>
  <c r="U243" i="80"/>
  <c r="N243" i="80"/>
  <c r="Q256" i="80"/>
  <c r="P243" i="80"/>
  <c r="O256" i="80"/>
  <c r="O243" i="80"/>
  <c r="L256" i="80"/>
  <c r="N256" i="80"/>
  <c r="K243" i="80"/>
  <c r="L243" i="80"/>
  <c r="Q243" i="80"/>
  <c r="P256" i="80"/>
  <c r="M243" i="80"/>
  <c r="J256" i="80"/>
  <c r="J243" i="80"/>
  <c r="H31" i="73"/>
  <c r="Y259" i="80"/>
  <c r="X259" i="80"/>
  <c r="X246" i="80"/>
  <c r="T259" i="80"/>
  <c r="S246" i="80"/>
  <c r="T246" i="80"/>
  <c r="U259" i="80"/>
  <c r="W259" i="80"/>
  <c r="R246" i="80"/>
  <c r="V246" i="80"/>
  <c r="V259" i="80"/>
  <c r="Y246" i="80"/>
  <c r="R259" i="80"/>
  <c r="W246" i="80"/>
  <c r="U246" i="80"/>
  <c r="S259" i="80"/>
  <c r="N246" i="80"/>
  <c r="K246" i="80"/>
  <c r="O246" i="80"/>
  <c r="L246" i="80"/>
  <c r="L259" i="80"/>
  <c r="P246" i="80"/>
  <c r="N259" i="80"/>
  <c r="O259" i="80"/>
  <c r="P259" i="80"/>
  <c r="Q259" i="80"/>
  <c r="Q246" i="80"/>
  <c r="J259" i="80"/>
  <c r="M246" i="80"/>
  <c r="J246" i="80"/>
  <c r="L97" i="80"/>
  <c r="L109" i="80" s="1"/>
  <c r="L146" i="80" s="1"/>
  <c r="L172" i="80" s="1"/>
  <c r="K89" i="83"/>
  <c r="K160" i="83" s="1"/>
  <c r="K30" i="71" s="1"/>
  <c r="K135" i="71" s="1"/>
  <c r="L77" i="80"/>
  <c r="L89" i="80" s="1"/>
  <c r="L122" i="80"/>
  <c r="L134" i="80" s="1"/>
  <c r="K150" i="80"/>
  <c r="K176" i="80" s="1"/>
  <c r="Q150" i="80"/>
  <c r="Q208" i="80" s="1"/>
  <c r="L70" i="80"/>
  <c r="L82" i="80" s="1"/>
  <c r="L142" i="80" s="1"/>
  <c r="L168"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J106" i="83"/>
  <c r="J211" i="83" s="1"/>
  <c r="J83" i="71" s="1"/>
  <c r="J105" i="83"/>
  <c r="J210" i="83" s="1"/>
  <c r="J116" i="80"/>
  <c r="J128" i="80" s="1"/>
  <c r="J86" i="83"/>
  <c r="J157" i="83" s="1"/>
  <c r="J27" i="71" s="1"/>
  <c r="J74" i="80"/>
  <c r="J86" i="80" s="1"/>
  <c r="M100" i="83"/>
  <c r="M188" i="83" s="1"/>
  <c r="M59" i="71" s="1"/>
  <c r="M164" i="71" s="1"/>
  <c r="M99" i="80"/>
  <c r="M111" i="80" s="1"/>
  <c r="M95" i="83"/>
  <c r="M183" i="83" s="1"/>
  <c r="M54" i="71" s="1"/>
  <c r="M159" i="71" s="1"/>
  <c r="M94" i="80"/>
  <c r="M106" i="80" s="1"/>
  <c r="J107" i="83"/>
  <c r="J212" i="83" s="1"/>
  <c r="J84" i="71" s="1"/>
  <c r="J117" i="80"/>
  <c r="J129" i="80" s="1"/>
  <c r="J111" i="83"/>
  <c r="J216" i="83" s="1"/>
  <c r="J88" i="71" s="1"/>
  <c r="J121" i="80"/>
  <c r="J133" i="80" s="1"/>
  <c r="M86" i="83"/>
  <c r="M157" i="83" s="1"/>
  <c r="M27" i="71" s="1"/>
  <c r="M132" i="71" s="1"/>
  <c r="M74" i="80"/>
  <c r="M86" i="80" s="1"/>
  <c r="M97" i="83"/>
  <c r="M185" i="83" s="1"/>
  <c r="M56" i="71" s="1"/>
  <c r="M161" i="71" s="1"/>
  <c r="M96" i="80"/>
  <c r="M108" i="80" s="1"/>
  <c r="L83" i="83"/>
  <c r="L154" i="83" s="1"/>
  <c r="L24" i="71" s="1"/>
  <c r="L129" i="71" s="1"/>
  <c r="L71" i="80"/>
  <c r="L83" i="80" s="1"/>
  <c r="J88" i="83"/>
  <c r="J159" i="83" s="1"/>
  <c r="J29" i="71" s="1"/>
  <c r="J76" i="80"/>
  <c r="J88" i="80" s="1"/>
  <c r="J90" i="83"/>
  <c r="J161" i="83" s="1"/>
  <c r="J31" i="71" s="1"/>
  <c r="J78" i="80"/>
  <c r="J90" i="80" s="1"/>
  <c r="M114" i="83"/>
  <c r="M219" i="83" s="1"/>
  <c r="M91" i="71" s="1"/>
  <c r="M196" i="71" s="1"/>
  <c r="M124" i="80"/>
  <c r="M136" i="80" s="1"/>
  <c r="M108" i="83"/>
  <c r="M213" i="83" s="1"/>
  <c r="M85" i="71" s="1"/>
  <c r="M190" i="71" s="1"/>
  <c r="M118" i="80"/>
  <c r="M130" i="80" s="1"/>
  <c r="L111" i="83"/>
  <c r="L216" i="83" s="1"/>
  <c r="L88" i="71" s="1"/>
  <c r="L193" i="71" s="1"/>
  <c r="L121" i="80"/>
  <c r="L133" i="80" s="1"/>
  <c r="L147" i="80" s="1"/>
  <c r="L173" i="80" s="1"/>
  <c r="J89" i="83"/>
  <c r="J160" i="83" s="1"/>
  <c r="J30" i="71" s="1"/>
  <c r="J77" i="80"/>
  <c r="J89" i="80" s="1"/>
  <c r="J97" i="83"/>
  <c r="J185" i="83" s="1"/>
  <c r="J56" i="71" s="1"/>
  <c r="J96" i="80"/>
  <c r="J108" i="80" s="1"/>
  <c r="K94" i="83"/>
  <c r="K182" i="83" s="1"/>
  <c r="K53" i="71" s="1"/>
  <c r="K158" i="71" s="1"/>
  <c r="K93" i="83"/>
  <c r="K181" i="83" s="1"/>
  <c r="K93" i="80"/>
  <c r="K105" i="80" s="1"/>
  <c r="Q146" i="80"/>
  <c r="Q172" i="80" s="1"/>
  <c r="Q144" i="80"/>
  <c r="Q170" i="80" s="1"/>
  <c r="J82" i="83"/>
  <c r="J153" i="83" s="1"/>
  <c r="J23" i="71" s="1"/>
  <c r="J81" i="83"/>
  <c r="J152" i="83" s="1"/>
  <c r="J70" i="80"/>
  <c r="J82" i="80" s="1"/>
  <c r="M112" i="83"/>
  <c r="M217" i="83" s="1"/>
  <c r="M89" i="71" s="1"/>
  <c r="M194" i="71" s="1"/>
  <c r="M122" i="80"/>
  <c r="M134" i="80" s="1"/>
  <c r="K98" i="83"/>
  <c r="K186" i="83" s="1"/>
  <c r="K57" i="71" s="1"/>
  <c r="K162" i="71" s="1"/>
  <c r="K97" i="80"/>
  <c r="K109" i="80" s="1"/>
  <c r="J95" i="83"/>
  <c r="J183" i="83" s="1"/>
  <c r="J54" i="71" s="1"/>
  <c r="J94" i="80"/>
  <c r="J106" i="80" s="1"/>
  <c r="L95" i="83"/>
  <c r="L183" i="83" s="1"/>
  <c r="L54" i="71" s="1"/>
  <c r="L159" i="71" s="1"/>
  <c r="L94" i="80"/>
  <c r="L106" i="80" s="1"/>
  <c r="J96" i="83"/>
  <c r="J184" i="83" s="1"/>
  <c r="J55" i="71" s="1"/>
  <c r="J95" i="80"/>
  <c r="J107" i="80" s="1"/>
  <c r="J99" i="83"/>
  <c r="J187" i="83" s="1"/>
  <c r="J58" i="71" s="1"/>
  <c r="J98" i="80"/>
  <c r="J110" i="80" s="1"/>
  <c r="M113" i="83"/>
  <c r="M218" i="83" s="1"/>
  <c r="M90" i="71" s="1"/>
  <c r="M195" i="71" s="1"/>
  <c r="M123" i="80"/>
  <c r="M135" i="80" s="1"/>
  <c r="K107" i="83"/>
  <c r="K212" i="83" s="1"/>
  <c r="K84" i="71" s="1"/>
  <c r="K189" i="71" s="1"/>
  <c r="K117" i="80"/>
  <c r="K129" i="80" s="1"/>
  <c r="M109" i="83"/>
  <c r="M214" i="83" s="1"/>
  <c r="M86" i="71" s="1"/>
  <c r="M191" i="71" s="1"/>
  <c r="M119" i="80"/>
  <c r="M131" i="80" s="1"/>
  <c r="L88" i="83"/>
  <c r="L159" i="83" s="1"/>
  <c r="L29" i="71" s="1"/>
  <c r="L134" i="71" s="1"/>
  <c r="L76" i="80"/>
  <c r="L88" i="80" s="1"/>
  <c r="J114" i="83"/>
  <c r="J219" i="83" s="1"/>
  <c r="J91" i="71" s="1"/>
  <c r="J124" i="80"/>
  <c r="J136" i="80" s="1"/>
  <c r="M90" i="83"/>
  <c r="M161" i="83" s="1"/>
  <c r="M31" i="71" s="1"/>
  <c r="M136" i="71" s="1"/>
  <c r="M78" i="80"/>
  <c r="M90" i="80" s="1"/>
  <c r="K110" i="83"/>
  <c r="K215" i="83" s="1"/>
  <c r="K87" i="71" s="1"/>
  <c r="K192" i="71" s="1"/>
  <c r="K120" i="80"/>
  <c r="K132" i="80" s="1"/>
  <c r="M106" i="83"/>
  <c r="M211" i="83" s="1"/>
  <c r="M83" i="71" s="1"/>
  <c r="M188" i="71" s="1"/>
  <c r="M105" i="83"/>
  <c r="M210" i="83" s="1"/>
  <c r="M116" i="80"/>
  <c r="M128" i="80" s="1"/>
  <c r="J109" i="83"/>
  <c r="J214" i="83" s="1"/>
  <c r="J86" i="71" s="1"/>
  <c r="J119" i="80"/>
  <c r="J131" i="80" s="1"/>
  <c r="K88" i="83"/>
  <c r="K159" i="83" s="1"/>
  <c r="K29" i="71" s="1"/>
  <c r="K134" i="71" s="1"/>
  <c r="K76" i="80"/>
  <c r="K88" i="80" s="1"/>
  <c r="Q143" i="80"/>
  <c r="Q169" i="80" s="1"/>
  <c r="Q142" i="80"/>
  <c r="Q168" i="80" s="1"/>
  <c r="J110" i="83"/>
  <c r="J215" i="83" s="1"/>
  <c r="J87" i="71" s="1"/>
  <c r="J120" i="80"/>
  <c r="J132" i="80" s="1"/>
  <c r="M107" i="83"/>
  <c r="M212" i="83" s="1"/>
  <c r="M84" i="71" s="1"/>
  <c r="M189" i="71" s="1"/>
  <c r="M117" i="80"/>
  <c r="M129" i="80" s="1"/>
  <c r="J84" i="83"/>
  <c r="J155" i="83" s="1"/>
  <c r="J25" i="71" s="1"/>
  <c r="J72" i="80"/>
  <c r="J84"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J100" i="83"/>
  <c r="J188" i="83" s="1"/>
  <c r="J59" i="71" s="1"/>
  <c r="J99" i="80"/>
  <c r="J111" i="80" s="1"/>
  <c r="K109" i="83"/>
  <c r="K214" i="83" s="1"/>
  <c r="K86" i="71" s="1"/>
  <c r="K191" i="71" s="1"/>
  <c r="K119" i="80"/>
  <c r="K131" i="80" s="1"/>
  <c r="K145" i="80" s="1"/>
  <c r="K171" i="80" s="1"/>
  <c r="M84" i="83"/>
  <c r="M155" i="83" s="1"/>
  <c r="M25" i="71" s="1"/>
  <c r="M130" i="71" s="1"/>
  <c r="M72" i="80"/>
  <c r="M84" i="80" s="1"/>
  <c r="J113" i="83"/>
  <c r="J218" i="83" s="1"/>
  <c r="J90" i="71" s="1"/>
  <c r="J123" i="80"/>
  <c r="J135" i="80" s="1"/>
  <c r="M93" i="83"/>
  <c r="M181" i="83" s="1"/>
  <c r="M94" i="83"/>
  <c r="M182" i="83" s="1"/>
  <c r="M53" i="71" s="1"/>
  <c r="M158" i="71" s="1"/>
  <c r="M93" i="80"/>
  <c r="M105" i="80" s="1"/>
  <c r="J85" i="83"/>
  <c r="J156" i="83" s="1"/>
  <c r="J26" i="71" s="1"/>
  <c r="J73" i="80"/>
  <c r="J85" i="80" s="1"/>
  <c r="K106" i="83"/>
  <c r="K211" i="83" s="1"/>
  <c r="K83" i="71" s="1"/>
  <c r="K188" i="71" s="1"/>
  <c r="K105" i="83"/>
  <c r="K210" i="83" s="1"/>
  <c r="K116" i="80"/>
  <c r="K128" i="80" s="1"/>
  <c r="K147" i="80"/>
  <c r="K173" i="80" s="1"/>
  <c r="Q149" i="80"/>
  <c r="Q175" i="80" s="1"/>
  <c r="S127" i="71"/>
  <c r="J94" i="83"/>
  <c r="J182" i="83" s="1"/>
  <c r="J53" i="71" s="1"/>
  <c r="J93" i="83"/>
  <c r="J181" i="83" s="1"/>
  <c r="J93" i="80"/>
  <c r="J105" i="80" s="1"/>
  <c r="J98" i="83"/>
  <c r="J186" i="83" s="1"/>
  <c r="J57" i="71" s="1"/>
  <c r="J97" i="80"/>
  <c r="J109" i="80" s="1"/>
  <c r="M88" i="83"/>
  <c r="M159" i="83" s="1"/>
  <c r="M29" i="71" s="1"/>
  <c r="M134" i="71" s="1"/>
  <c r="M76" i="80"/>
  <c r="M88" i="80" s="1"/>
  <c r="M83" i="83"/>
  <c r="M154" i="83" s="1"/>
  <c r="M24" i="71" s="1"/>
  <c r="M129" i="71" s="1"/>
  <c r="M71" i="80"/>
  <c r="M83" i="80" s="1"/>
  <c r="J83" i="83"/>
  <c r="J154" i="83" s="1"/>
  <c r="J24" i="71" s="1"/>
  <c r="J71" i="80"/>
  <c r="J83" i="80" s="1"/>
  <c r="J108" i="83"/>
  <c r="J213" i="83" s="1"/>
  <c r="J85" i="71" s="1"/>
  <c r="J118" i="80"/>
  <c r="J130" i="80" s="1"/>
  <c r="J87" i="83"/>
  <c r="J158" i="83" s="1"/>
  <c r="J28" i="71" s="1"/>
  <c r="J75" i="80"/>
  <c r="J87" i="80" s="1"/>
  <c r="M98" i="83"/>
  <c r="M186" i="83" s="1"/>
  <c r="M57" i="71" s="1"/>
  <c r="M162" i="71" s="1"/>
  <c r="M97" i="80"/>
  <c r="M109" i="80" s="1"/>
  <c r="M101" i="83"/>
  <c r="M189" i="83" s="1"/>
  <c r="M60" i="71" s="1"/>
  <c r="M165" i="71" s="1"/>
  <c r="M100" i="80"/>
  <c r="M112" i="80" s="1"/>
  <c r="L108" i="83"/>
  <c r="L213" i="83" s="1"/>
  <c r="L85" i="71" s="1"/>
  <c r="L190" i="71" s="1"/>
  <c r="L118" i="80"/>
  <c r="L130" i="80" s="1"/>
  <c r="J112" i="83"/>
  <c r="J217" i="83" s="1"/>
  <c r="J89" i="71" s="1"/>
  <c r="J122" i="80"/>
  <c r="J134" i="80" s="1"/>
  <c r="J102" i="83"/>
  <c r="J190" i="83" s="1"/>
  <c r="J61" i="71" s="1"/>
  <c r="J101" i="80"/>
  <c r="J113" i="80" s="1"/>
  <c r="K100" i="83"/>
  <c r="K188" i="83" s="1"/>
  <c r="K59" i="71" s="1"/>
  <c r="K164" i="71" s="1"/>
  <c r="K99" i="80"/>
  <c r="K111" i="80" s="1"/>
  <c r="M102" i="83"/>
  <c r="M190" i="83" s="1"/>
  <c r="M61" i="71" s="1"/>
  <c r="M166" i="71" s="1"/>
  <c r="M101" i="80"/>
  <c r="M113" i="80" s="1"/>
  <c r="M96" i="83"/>
  <c r="M184" i="83" s="1"/>
  <c r="M55" i="71" s="1"/>
  <c r="M160" i="71" s="1"/>
  <c r="M95" i="80"/>
  <c r="M107" i="80" s="1"/>
  <c r="J101" i="83"/>
  <c r="J189" i="83" s="1"/>
  <c r="J60" i="71" s="1"/>
  <c r="J100" i="80"/>
  <c r="J112" i="80" s="1"/>
  <c r="M82" i="83"/>
  <c r="M153" i="83" s="1"/>
  <c r="M23" i="71" s="1"/>
  <c r="M128" i="71" s="1"/>
  <c r="M81" i="83"/>
  <c r="M152" i="83" s="1"/>
  <c r="M70" i="80"/>
  <c r="M82" i="80" s="1"/>
  <c r="K83" i="83"/>
  <c r="K154" i="83" s="1"/>
  <c r="K24" i="71" s="1"/>
  <c r="K129" i="71" s="1"/>
  <c r="K71" i="80"/>
  <c r="K83" i="80" s="1"/>
  <c r="Q148" i="80"/>
  <c r="Q174" i="80" s="1"/>
  <c r="R176" i="80"/>
  <c r="R177" i="80" s="1"/>
  <c r="R208" i="80"/>
  <c r="P135" i="71"/>
  <c r="P160" i="71"/>
  <c r="P161" i="71"/>
  <c r="P133" i="71"/>
  <c r="P191" i="71"/>
  <c r="P159" i="71"/>
  <c r="O190" i="71"/>
  <c r="P189" i="71"/>
  <c r="O159" i="71"/>
  <c r="O188" i="71"/>
  <c r="P129" i="71"/>
  <c r="P163" i="71"/>
  <c r="P128" i="71"/>
  <c r="O130" i="71"/>
  <c r="O162" i="71"/>
  <c r="P158" i="71"/>
  <c r="O128" i="71"/>
  <c r="P130" i="71"/>
  <c r="P193" i="71"/>
  <c r="O160" i="71"/>
  <c r="O131" i="71"/>
  <c r="P190" i="71"/>
  <c r="O163" i="71"/>
  <c r="O136" i="71"/>
  <c r="O191" i="71"/>
  <c r="O196" i="71"/>
  <c r="P131" i="71"/>
  <c r="P188" i="71"/>
  <c r="P165" i="71"/>
  <c r="O161" i="71"/>
  <c r="P162" i="71"/>
  <c r="O135" i="71"/>
  <c r="Y272" i="80" l="1"/>
  <c r="P274" i="80"/>
  <c r="U276" i="80"/>
  <c r="W274" i="80"/>
  <c r="O269" i="80"/>
  <c r="K144" i="80"/>
  <c r="K170" i="80" s="1"/>
  <c r="K271" i="80" s="1"/>
  <c r="M22" i="71"/>
  <c r="M127" i="71" s="1"/>
  <c r="J82" i="71"/>
  <c r="J187" i="71" s="1"/>
  <c r="J52" i="71"/>
  <c r="J157" i="71" s="1"/>
  <c r="J22" i="71"/>
  <c r="J127" i="71" s="1"/>
  <c r="L144" i="80"/>
  <c r="L170" i="80" s="1"/>
  <c r="L271" i="80" s="1"/>
  <c r="X272" i="80"/>
  <c r="U269" i="80"/>
  <c r="K274" i="80"/>
  <c r="M274" i="80"/>
  <c r="L176" i="80"/>
  <c r="L273" i="80"/>
  <c r="S273" i="80"/>
  <c r="L82" i="71"/>
  <c r="L187" i="71" s="1"/>
  <c r="S269" i="80"/>
  <c r="K208" i="80"/>
  <c r="Q273" i="80"/>
  <c r="K276" i="80"/>
  <c r="S271" i="80"/>
  <c r="R275" i="80"/>
  <c r="N275" i="80"/>
  <c r="T275" i="80"/>
  <c r="R272" i="80"/>
  <c r="U270" i="80"/>
  <c r="R274" i="80"/>
  <c r="V272" i="80"/>
  <c r="R270" i="80"/>
  <c r="T274" i="80"/>
  <c r="R271" i="80"/>
  <c r="M142" i="80"/>
  <c r="M168" i="80" s="1"/>
  <c r="L149" i="80"/>
  <c r="L175" i="80" s="1"/>
  <c r="L276" i="80" s="1"/>
  <c r="Y270" i="80"/>
  <c r="W273" i="80"/>
  <c r="X276" i="80"/>
  <c r="R269" i="80"/>
  <c r="R276" i="80"/>
  <c r="S270" i="80"/>
  <c r="Q275" i="80"/>
  <c r="L274" i="80"/>
  <c r="Y276" i="80"/>
  <c r="Y273" i="80"/>
  <c r="W269" i="80"/>
  <c r="S274" i="80"/>
  <c r="S275" i="80"/>
  <c r="S276" i="80"/>
  <c r="T273" i="80"/>
  <c r="R273" i="80"/>
  <c r="X269" i="80"/>
  <c r="U272" i="80"/>
  <c r="Q271" i="80"/>
  <c r="P269" i="80"/>
  <c r="P272" i="80"/>
  <c r="W272" i="80"/>
  <c r="S272" i="80"/>
  <c r="P270" i="80"/>
  <c r="W270" i="80"/>
  <c r="N274"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O276"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N271" i="80"/>
  <c r="K272" i="80"/>
  <c r="Q270" i="80"/>
  <c r="Q176" i="80"/>
  <c r="Q177" i="80" s="1"/>
  <c r="Q274" i="80"/>
  <c r="P276" i="80"/>
  <c r="W276" i="80"/>
  <c r="V276" i="80"/>
  <c r="T276" i="80"/>
  <c r="O273" i="80"/>
  <c r="N273" i="80"/>
  <c r="V273" i="80"/>
  <c r="X273" i="80"/>
  <c r="V269" i="80"/>
  <c r="Y269" i="80"/>
  <c r="O275" i="80"/>
  <c r="Y275" i="80"/>
  <c r="W275" i="80"/>
  <c r="X275" i="80"/>
  <c r="N272"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O271" i="80"/>
  <c r="V271" i="80"/>
  <c r="U271" i="80"/>
  <c r="P273" i="80"/>
  <c r="L50" i="82"/>
  <c r="M50" i="82"/>
  <c r="O50" i="82"/>
  <c r="K50" i="82"/>
  <c r="N50" i="82"/>
  <c r="X270" i="80"/>
  <c r="N269"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N276" i="80"/>
  <c r="U273" i="80"/>
  <c r="T269" i="80"/>
  <c r="P275" i="80"/>
  <c r="U275" i="80"/>
  <c r="O272" i="80"/>
  <c r="O270" i="80"/>
  <c r="N270" i="80"/>
  <c r="T270" i="80"/>
  <c r="O274"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J145" i="80"/>
  <c r="L148" i="80"/>
  <c r="L174" i="80" s="1"/>
  <c r="L275" i="80" s="1"/>
  <c r="M145" i="80"/>
  <c r="M171" i="80" s="1"/>
  <c r="M272" i="80" s="1"/>
  <c r="J143" i="80"/>
  <c r="J169" i="80" s="1"/>
  <c r="J270" i="80" s="1"/>
  <c r="M148" i="80"/>
  <c r="M174" i="80" s="1"/>
  <c r="M275" i="80" s="1"/>
  <c r="K146" i="80"/>
  <c r="K172" i="80" s="1"/>
  <c r="K273" i="80" s="1"/>
  <c r="K142" i="80"/>
  <c r="K168" i="80" s="1"/>
  <c r="M52" i="71"/>
  <c r="M157" i="71" s="1"/>
  <c r="M82" i="71"/>
  <c r="M187" i="71" s="1"/>
  <c r="J147" i="80"/>
  <c r="J173" i="80" s="1"/>
  <c r="J274" i="80" s="1"/>
  <c r="O187" i="71"/>
  <c r="K52" i="71"/>
  <c r="K157" i="71" s="1"/>
  <c r="P127" i="71"/>
  <c r="K82" i="71"/>
  <c r="K187" i="71" s="1"/>
  <c r="K143" i="80"/>
  <c r="K169" i="80" s="1"/>
  <c r="K270" i="80" s="1"/>
  <c r="M143" i="80"/>
  <c r="M169" i="80" s="1"/>
  <c r="M270" i="80" s="1"/>
  <c r="P187" i="71"/>
  <c r="Q269" i="80"/>
  <c r="J148" i="80"/>
  <c r="J174" i="80" s="1"/>
  <c r="J275" i="80" s="1"/>
  <c r="J146" i="80"/>
  <c r="J172" i="80" s="1"/>
  <c r="J273" i="80" s="1"/>
  <c r="L145" i="80"/>
  <c r="L171" i="80" s="1"/>
  <c r="L272" i="80" s="1"/>
  <c r="M149" i="80"/>
  <c r="M175" i="80" s="1"/>
  <c r="M276" i="80" s="1"/>
  <c r="J144" i="80"/>
  <c r="J170" i="80" s="1"/>
  <c r="J271" i="80" s="1"/>
  <c r="M144" i="80"/>
  <c r="M170" i="80" s="1"/>
  <c r="M271" i="80" s="1"/>
  <c r="K148" i="80"/>
  <c r="K174" i="80" s="1"/>
  <c r="K275" i="80" s="1"/>
  <c r="J142" i="80"/>
  <c r="J168" i="80" s="1"/>
  <c r="J149" i="80"/>
  <c r="J175" i="80" s="1"/>
  <c r="J276" i="80" s="1"/>
  <c r="J150" i="80"/>
  <c r="L143" i="80"/>
  <c r="L169" i="80" s="1"/>
  <c r="L270" i="80" s="1"/>
  <c r="M146" i="80"/>
  <c r="M172" i="80" s="1"/>
  <c r="M273" i="80" s="1"/>
  <c r="M150" i="80"/>
  <c r="O132" i="71"/>
  <c r="P132" i="71"/>
  <c r="J165" i="71"/>
  <c r="J131" i="71"/>
  <c r="O193" i="71"/>
  <c r="O195" i="71"/>
  <c r="J129" i="71"/>
  <c r="J195" i="71"/>
  <c r="J158" i="71"/>
  <c r="O133" i="71"/>
  <c r="J161" i="71"/>
  <c r="J189" i="71"/>
  <c r="O192" i="71"/>
  <c r="J163" i="71"/>
  <c r="J160" i="71"/>
  <c r="J159" i="71"/>
  <c r="J135" i="71"/>
  <c r="O129" i="71"/>
  <c r="J193" i="71"/>
  <c r="O166" i="71"/>
  <c r="J188" i="71"/>
  <c r="J192" i="71"/>
  <c r="J162" i="71"/>
  <c r="P195" i="71"/>
  <c r="J190" i="71"/>
  <c r="J133" i="71"/>
  <c r="J128" i="71"/>
  <c r="J132" i="71"/>
  <c r="P192" i="71"/>
  <c r="O189" i="71"/>
  <c r="J191" i="71"/>
  <c r="J130" i="71"/>
  <c r="O165" i="71"/>
  <c r="H270" i="80" l="1"/>
  <c r="H274" i="80"/>
  <c r="K177" i="80"/>
  <c r="L177" i="80"/>
  <c r="H271" i="80"/>
  <c r="M269" i="80"/>
  <c r="K269" i="80"/>
  <c r="J195" i="73"/>
  <c r="J265" i="73"/>
  <c r="J28" i="74" s="1"/>
  <c r="J73" i="74" s="1"/>
  <c r="J266" i="73"/>
  <c r="J29" i="74" s="1"/>
  <c r="J74"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75" i="74" s="1"/>
  <c r="N197" i="73"/>
  <c r="H154" i="80"/>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72" i="74" s="1"/>
  <c r="N268" i="73"/>
  <c r="N31" i="74" s="1"/>
  <c r="N76"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J77" i="74" s="1"/>
  <c r="Q195" i="73"/>
  <c r="Q265" i="73"/>
  <c r="Q28" i="74" s="1"/>
  <c r="Q73" i="74" s="1"/>
  <c r="N195" i="73"/>
  <c r="N265" i="73"/>
  <c r="N28" i="74" s="1"/>
  <c r="N73" i="74" s="1"/>
  <c r="J264" i="73"/>
  <c r="J27" i="74" s="1"/>
  <c r="J72" i="74" s="1"/>
  <c r="J194" i="73"/>
  <c r="O268" i="73"/>
  <c r="O31" i="74" s="1"/>
  <c r="O76" i="74" s="1"/>
  <c r="O198" i="73"/>
  <c r="O199" i="73"/>
  <c r="O269" i="73"/>
  <c r="O32" i="74" s="1"/>
  <c r="O77" i="74" s="1"/>
  <c r="N269" i="73"/>
  <c r="N32" i="74" s="1"/>
  <c r="N77" i="74" s="1"/>
  <c r="N199" i="73"/>
  <c r="K200" i="73"/>
  <c r="K270" i="73"/>
  <c r="K33" i="74" s="1"/>
  <c r="K78" i="74" s="1"/>
  <c r="P195" i="73"/>
  <c r="P265" i="73"/>
  <c r="P28" i="74" s="1"/>
  <c r="P73" i="74" s="1"/>
  <c r="K196" i="73"/>
  <c r="K266" i="73"/>
  <c r="K29" i="74" s="1"/>
  <c r="K74" i="74" s="1"/>
  <c r="M266" i="73"/>
  <c r="M29" i="74" s="1"/>
  <c r="M74" i="74" s="1"/>
  <c r="M196" i="73"/>
  <c r="N266" i="73"/>
  <c r="N29" i="74" s="1"/>
  <c r="N74" i="74" s="1"/>
  <c r="N196" i="73"/>
  <c r="K264" i="73"/>
  <c r="K27" i="74" s="1"/>
  <c r="K72" i="74" s="1"/>
  <c r="K194" i="73"/>
  <c r="Q268" i="73"/>
  <c r="Q31" i="74" s="1"/>
  <c r="Q76" i="74" s="1"/>
  <c r="Q198" i="73"/>
  <c r="M198" i="73"/>
  <c r="M268" i="73"/>
  <c r="M31" i="74" s="1"/>
  <c r="M76" i="74" s="1"/>
  <c r="J268" i="73"/>
  <c r="J31" i="74" s="1"/>
  <c r="J76" i="74" s="1"/>
  <c r="J198" i="73"/>
  <c r="Q269" i="73"/>
  <c r="Q32" i="74" s="1"/>
  <c r="Q77" i="74" s="1"/>
  <c r="Q199" i="73"/>
  <c r="O267" i="73"/>
  <c r="O30" i="74" s="1"/>
  <c r="O75" i="74" s="1"/>
  <c r="O197" i="73"/>
  <c r="K197" i="73"/>
  <c r="K267" i="73"/>
  <c r="K30" i="74" s="1"/>
  <c r="K75" i="74" s="1"/>
  <c r="J197" i="73"/>
  <c r="J267" i="73"/>
  <c r="J30" i="74" s="1"/>
  <c r="J75" i="74" s="1"/>
  <c r="O200" i="73"/>
  <c r="O270" i="73"/>
  <c r="O33" i="74" s="1"/>
  <c r="O78" i="74" s="1"/>
  <c r="N270" i="73"/>
  <c r="N33" i="74" s="1"/>
  <c r="N78" i="74" s="1"/>
  <c r="N200" i="73"/>
  <c r="J200" i="73"/>
  <c r="J270" i="73"/>
  <c r="J33" i="74" s="1"/>
  <c r="J78" i="74" s="1"/>
  <c r="J171" i="80"/>
  <c r="J272" i="80" s="1"/>
  <c r="H272" i="80" s="1"/>
  <c r="H157" i="80"/>
  <c r="H155" i="80"/>
  <c r="H156" i="80"/>
  <c r="M208" i="80"/>
  <c r="M176" i="80"/>
  <c r="M177" i="80" s="1"/>
  <c r="J208" i="80"/>
  <c r="J176" i="80"/>
  <c r="J269" i="80"/>
  <c r="O134" i="71"/>
  <c r="J164" i="71"/>
  <c r="P194" i="71"/>
  <c r="P196" i="71"/>
  <c r="P166" i="71"/>
  <c r="P134" i="71"/>
  <c r="J194" i="71"/>
  <c r="J166" i="71"/>
  <c r="J134" i="71"/>
  <c r="J136" i="71"/>
  <c r="J196" i="71"/>
  <c r="O164" i="71"/>
  <c r="O194" i="71"/>
  <c r="P164" i="71"/>
  <c r="P136" i="71"/>
  <c r="H159" i="80"/>
  <c r="H162" i="80"/>
  <c r="H276" i="80"/>
  <c r="H161" i="80"/>
  <c r="H273" i="80"/>
  <c r="H158" i="80"/>
  <c r="H306" i="53" a="1"/>
  <c r="H306" i="53" s="1"/>
  <c r="J177" i="80" l="1"/>
  <c r="H210" i="80"/>
  <c r="H234" i="80" s="1"/>
  <c r="O247" i="80" s="1"/>
  <c r="H269" i="80"/>
  <c r="R107" i="74"/>
  <c r="R139" i="74" s="1"/>
  <c r="T107" i="74"/>
  <c r="T139" i="74" s="1"/>
  <c r="U107" i="74"/>
  <c r="U139" i="74" s="1"/>
  <c r="K107" i="74"/>
  <c r="K139" i="74" s="1"/>
  <c r="Q107" i="74"/>
  <c r="Q139" i="74" s="1"/>
  <c r="V107" i="74"/>
  <c r="V139" i="74" s="1"/>
  <c r="W107" i="74"/>
  <c r="W139" i="74" s="1"/>
  <c r="X107" i="74"/>
  <c r="X139" i="74" s="1"/>
  <c r="S107" i="74"/>
  <c r="S139" i="74" s="1"/>
  <c r="M107" i="74"/>
  <c r="M139" i="74" s="1"/>
  <c r="O107" i="74"/>
  <c r="O139" i="74" s="1"/>
  <c r="Y107" i="74"/>
  <c r="Y139" i="74" s="1"/>
  <c r="P107" i="74"/>
  <c r="P139" i="74" s="1"/>
  <c r="N107" i="74"/>
  <c r="N139" i="74" s="1"/>
  <c r="U103" i="74"/>
  <c r="U135" i="74" s="1"/>
  <c r="V103" i="74"/>
  <c r="V135" i="74" s="1"/>
  <c r="R103" i="74"/>
  <c r="R135" i="74" s="1"/>
  <c r="M103" i="74"/>
  <c r="M135" i="74" s="1"/>
  <c r="O103" i="74"/>
  <c r="O135" i="74" s="1"/>
  <c r="P103" i="74"/>
  <c r="P135" i="74" s="1"/>
  <c r="Y103" i="74"/>
  <c r="Y135" i="74" s="1"/>
  <c r="S103" i="74"/>
  <c r="S135" i="74" s="1"/>
  <c r="Q103" i="74"/>
  <c r="Q135" i="74" s="1"/>
  <c r="K103" i="74"/>
  <c r="K135" i="74" s="1"/>
  <c r="X103" i="74"/>
  <c r="X135" i="74" s="1"/>
  <c r="T103" i="74"/>
  <c r="T135" i="74" s="1"/>
  <c r="W103" i="74"/>
  <c r="W135" i="74" s="1"/>
  <c r="N103" i="74"/>
  <c r="N135" i="74" s="1"/>
  <c r="J104" i="74"/>
  <c r="J136" i="74" s="1"/>
  <c r="L104" i="74"/>
  <c r="L136" i="74" s="1"/>
  <c r="J106" i="74"/>
  <c r="J138" i="74" s="1"/>
  <c r="L106" i="74"/>
  <c r="L138" i="74" s="1"/>
  <c r="S104" i="74"/>
  <c r="S136" i="74" s="1"/>
  <c r="P104" i="74"/>
  <c r="P136" i="74" s="1"/>
  <c r="Q104" i="74"/>
  <c r="Q136" i="74" s="1"/>
  <c r="X104" i="74"/>
  <c r="X136" i="74" s="1"/>
  <c r="T104" i="74"/>
  <c r="T136" i="74" s="1"/>
  <c r="W104" i="74"/>
  <c r="W136" i="74" s="1"/>
  <c r="N104" i="74"/>
  <c r="N136" i="74" s="1"/>
  <c r="K104" i="74"/>
  <c r="K136" i="74" s="1"/>
  <c r="R104" i="74"/>
  <c r="R136" i="74" s="1"/>
  <c r="Y104" i="74"/>
  <c r="Y136" i="74" s="1"/>
  <c r="U104" i="74"/>
  <c r="U136" i="74" s="1"/>
  <c r="M104" i="74"/>
  <c r="M136" i="74" s="1"/>
  <c r="V104" i="74"/>
  <c r="V136" i="74" s="1"/>
  <c r="O104" i="74"/>
  <c r="O136" i="74" s="1"/>
  <c r="U108" i="74"/>
  <c r="U140" i="74" s="1"/>
  <c r="S108" i="74"/>
  <c r="S140" i="74" s="1"/>
  <c r="X108" i="74"/>
  <c r="X140" i="74" s="1"/>
  <c r="V108" i="74"/>
  <c r="V140" i="74" s="1"/>
  <c r="R108" i="74"/>
  <c r="R140" i="74" s="1"/>
  <c r="O108" i="74"/>
  <c r="O140" i="74" s="1"/>
  <c r="W108" i="74"/>
  <c r="W140" i="74" s="1"/>
  <c r="Q108" i="74"/>
  <c r="Q140" i="74" s="1"/>
  <c r="K108" i="74"/>
  <c r="K140" i="74" s="1"/>
  <c r="N108" i="74"/>
  <c r="N140" i="74" s="1"/>
  <c r="Y108" i="74"/>
  <c r="Y140" i="74" s="1"/>
  <c r="T108" i="74"/>
  <c r="T140" i="74" s="1"/>
  <c r="P108" i="74"/>
  <c r="P140" i="74" s="1"/>
  <c r="M108" i="74"/>
  <c r="M140" i="74" s="1"/>
  <c r="J102" i="74"/>
  <c r="J134" i="74" s="1"/>
  <c r="L102" i="74"/>
  <c r="L134" i="74" s="1"/>
  <c r="J103" i="74"/>
  <c r="J135" i="74" s="1"/>
  <c r="L103" i="74"/>
  <c r="L135" i="74" s="1"/>
  <c r="Y106" i="74"/>
  <c r="Y138" i="74" s="1"/>
  <c r="P106" i="74"/>
  <c r="P138" i="74" s="1"/>
  <c r="M106" i="74"/>
  <c r="M138" i="74" s="1"/>
  <c r="Q106" i="74"/>
  <c r="Q138" i="74" s="1"/>
  <c r="S106" i="74"/>
  <c r="S138" i="74" s="1"/>
  <c r="T106" i="74"/>
  <c r="T138" i="74" s="1"/>
  <c r="N106" i="74"/>
  <c r="N138" i="74" s="1"/>
  <c r="K106" i="74"/>
  <c r="K138" i="74" s="1"/>
  <c r="W106" i="74"/>
  <c r="W138" i="74" s="1"/>
  <c r="O106" i="74"/>
  <c r="O138" i="74" s="1"/>
  <c r="X106" i="74"/>
  <c r="X138" i="74" s="1"/>
  <c r="V106" i="74"/>
  <c r="V138" i="74" s="1"/>
  <c r="R106" i="74"/>
  <c r="R138" i="74" s="1"/>
  <c r="U106" i="74"/>
  <c r="U138" i="74" s="1"/>
  <c r="J105" i="74"/>
  <c r="J137" i="74" s="1"/>
  <c r="L105" i="74"/>
  <c r="L137" i="74" s="1"/>
  <c r="P102" i="74"/>
  <c r="P134" i="74" s="1"/>
  <c r="V102" i="74"/>
  <c r="V134" i="74" s="1"/>
  <c r="R102" i="74"/>
  <c r="R134" i="74" s="1"/>
  <c r="N102" i="74"/>
  <c r="N134" i="74" s="1"/>
  <c r="W102" i="74"/>
  <c r="W134" i="74" s="1"/>
  <c r="O102" i="74"/>
  <c r="O134" i="74" s="1"/>
  <c r="S102" i="74"/>
  <c r="S134" i="74" s="1"/>
  <c r="M102" i="74"/>
  <c r="M134" i="74" s="1"/>
  <c r="T102" i="74"/>
  <c r="T134" i="74" s="1"/>
  <c r="Q102" i="74"/>
  <c r="Q134" i="74" s="1"/>
  <c r="Y102" i="74"/>
  <c r="Y134" i="74" s="1"/>
  <c r="X102" i="74"/>
  <c r="X134" i="74" s="1"/>
  <c r="U102" i="74"/>
  <c r="U134" i="74" s="1"/>
  <c r="K102" i="74"/>
  <c r="K134" i="74" s="1"/>
  <c r="L108" i="74"/>
  <c r="L140" i="74" s="1"/>
  <c r="J108" i="74"/>
  <c r="J140" i="74" s="1"/>
  <c r="X105" i="74"/>
  <c r="X137" i="74" s="1"/>
  <c r="Y105" i="74"/>
  <c r="Y137" i="74" s="1"/>
  <c r="V105" i="74"/>
  <c r="V137" i="74" s="1"/>
  <c r="Q105" i="74"/>
  <c r="Q137" i="74" s="1"/>
  <c r="R105" i="74"/>
  <c r="R137" i="74" s="1"/>
  <c r="W105" i="74"/>
  <c r="W137" i="74" s="1"/>
  <c r="U105" i="74"/>
  <c r="U137" i="74" s="1"/>
  <c r="O105" i="74"/>
  <c r="O137" i="74" s="1"/>
  <c r="N105" i="74"/>
  <c r="N137" i="74" s="1"/>
  <c r="S105" i="74"/>
  <c r="S137" i="74" s="1"/>
  <c r="P105" i="74"/>
  <c r="P137" i="74" s="1"/>
  <c r="T105" i="74"/>
  <c r="T137" i="74" s="1"/>
  <c r="M105" i="74"/>
  <c r="M137" i="74" s="1"/>
  <c r="K105" i="74"/>
  <c r="K137" i="74" s="1"/>
  <c r="J107" i="74"/>
  <c r="J139" i="74" s="1"/>
  <c r="L107" i="74"/>
  <c r="L139" i="74" s="1"/>
  <c r="J51" i="82" a="1"/>
  <c r="J51" i="82" s="1"/>
  <c r="K260" i="80"/>
  <c r="M260" i="80"/>
  <c r="H275" i="80"/>
  <c r="A4" i="53"/>
  <c r="J42" i="55"/>
  <c r="H160" i="80"/>
  <c r="U247" i="80" l="1"/>
  <c r="P260" i="80"/>
  <c r="S260" i="80"/>
  <c r="N260" i="80"/>
  <c r="O260" i="80"/>
  <c r="O277" i="80" s="1"/>
  <c r="Y260" i="80"/>
  <c r="T260" i="80"/>
  <c r="V247" i="80"/>
  <c r="T247" i="80"/>
  <c r="U260" i="80"/>
  <c r="R260" i="80"/>
  <c r="Q260" i="80"/>
  <c r="L247" i="80"/>
  <c r="X260" i="80"/>
  <c r="J247" i="80"/>
  <c r="W247" i="80"/>
  <c r="H32" i="73"/>
  <c r="L141" i="73" s="1"/>
  <c r="N247" i="80"/>
  <c r="V260" i="80"/>
  <c r="Q247" i="80"/>
  <c r="P247" i="80"/>
  <c r="X247" i="80"/>
  <c r="W260" i="80"/>
  <c r="M247" i="80"/>
  <c r="M277" i="80" s="1"/>
  <c r="Y247" i="80"/>
  <c r="L260" i="80"/>
  <c r="R247" i="80"/>
  <c r="K247" i="80"/>
  <c r="K277" i="80" s="1"/>
  <c r="J260" i="80"/>
  <c r="S247" i="80"/>
  <c r="L51" i="82"/>
  <c r="M51" i="82"/>
  <c r="K51" i="82"/>
  <c r="N51" i="82"/>
  <c r="O51" i="82"/>
  <c r="U277" i="80" l="1"/>
  <c r="R277" i="80"/>
  <c r="S277" i="80"/>
  <c r="P277" i="80"/>
  <c r="N277" i="80"/>
  <c r="Y277" i="80"/>
  <c r="T277" i="80"/>
  <c r="V277" i="80"/>
  <c r="Q277" i="80"/>
  <c r="L171" i="73"/>
  <c r="L231" i="73" s="1"/>
  <c r="P141" i="73"/>
  <c r="P201" i="73" s="1"/>
  <c r="M171" i="73"/>
  <c r="M231" i="73" s="1"/>
  <c r="X277" i="80"/>
  <c r="P171" i="73"/>
  <c r="P231" i="73" s="1"/>
  <c r="N171" i="73"/>
  <c r="N231" i="73" s="1"/>
  <c r="K171" i="73"/>
  <c r="K231" i="73" s="1"/>
  <c r="O171" i="73"/>
  <c r="O231" i="73" s="1"/>
  <c r="N141" i="73"/>
  <c r="N271" i="73" s="1"/>
  <c r="N34" i="74" s="1"/>
  <c r="O141" i="73"/>
  <c r="O271" i="73" s="1"/>
  <c r="O34" i="74" s="1"/>
  <c r="J171" i="73"/>
  <c r="J231" i="73" s="1"/>
  <c r="M141" i="73"/>
  <c r="M201" i="73" s="1"/>
  <c r="J141" i="73"/>
  <c r="J271" i="73" s="1"/>
  <c r="J34" i="74" s="1"/>
  <c r="L277" i="80"/>
  <c r="W277" i="80"/>
  <c r="J277" i="80"/>
  <c r="Q141" i="73"/>
  <c r="Q201" i="73" s="1"/>
  <c r="Q171" i="73"/>
  <c r="Q231" i="73" s="1"/>
  <c r="K141" i="73"/>
  <c r="K201" i="73" s="1"/>
  <c r="L201" i="73"/>
  <c r="L271" i="73"/>
  <c r="L34" i="74" s="1"/>
  <c r="P271" i="73" l="1"/>
  <c r="P34" i="74" s="1"/>
  <c r="P79" i="74" s="1"/>
  <c r="M271" i="73"/>
  <c r="M34" i="74" s="1"/>
  <c r="M79" i="74" s="1"/>
  <c r="H277" i="80"/>
  <c r="K64" i="81" s="1" a="1"/>
  <c r="L64" i="81" s="1"/>
  <c r="L67" i="81" s="1"/>
  <c r="O201" i="73"/>
  <c r="N201" i="73"/>
  <c r="J201" i="73"/>
  <c r="Q271" i="73"/>
  <c r="Q34" i="74" s="1"/>
  <c r="Q79" i="74" s="1"/>
  <c r="K271" i="73"/>
  <c r="K34" i="74" s="1"/>
  <c r="K79" i="74" s="1"/>
  <c r="S79" i="74"/>
  <c r="R79" i="74"/>
  <c r="L79" i="74"/>
  <c r="O79" i="74"/>
  <c r="J79" i="74"/>
  <c r="N79" i="74"/>
  <c r="H281" i="80" l="1" a="1"/>
  <c r="H281" i="80" s="1"/>
  <c r="A4" i="80" s="1"/>
  <c r="Q64" i="81"/>
  <c r="Q67" i="81" s="1"/>
  <c r="Q73" i="81" s="1"/>
  <c r="Q76" i="81" s="1"/>
  <c r="N64" i="81"/>
  <c r="N67" i="81" s="1"/>
  <c r="N73" i="81" s="1"/>
  <c r="N76" i="81" s="1"/>
  <c r="P64" i="81"/>
  <c r="P67" i="81" s="1"/>
  <c r="P73" i="81" s="1"/>
  <c r="P76" i="81" s="1"/>
  <c r="R64" i="81"/>
  <c r="R67" i="81" s="1"/>
  <c r="R73" i="81" s="1"/>
  <c r="R76" i="81" s="1"/>
  <c r="K64" i="81"/>
  <c r="K67" i="81" s="1"/>
  <c r="M64" i="81"/>
  <c r="M67" i="81" s="1"/>
  <c r="M73" i="81" s="1"/>
  <c r="M76" i="81" s="1"/>
  <c r="S64" i="81"/>
  <c r="S67" i="81" s="1"/>
  <c r="S73" i="81" s="1"/>
  <c r="S76" i="81" s="1"/>
  <c r="O64" i="81"/>
  <c r="O67" i="81" s="1"/>
  <c r="O73" i="81" s="1"/>
  <c r="O76" i="81" s="1"/>
  <c r="J109" i="74"/>
  <c r="J141" i="74" s="1"/>
  <c r="U109" i="74"/>
  <c r="U141" i="74" s="1"/>
  <c r="S109" i="74"/>
  <c r="S141" i="74" s="1"/>
  <c r="X109" i="74"/>
  <c r="X141" i="74" s="1"/>
  <c r="O109" i="74"/>
  <c r="O141" i="74" s="1"/>
  <c r="T109" i="74"/>
  <c r="T141" i="74" s="1"/>
  <c r="Y109" i="74"/>
  <c r="Y141" i="74" s="1"/>
  <c r="P109" i="74"/>
  <c r="P141" i="74" s="1"/>
  <c r="Q109" i="74"/>
  <c r="Q141" i="74" s="1"/>
  <c r="V109" i="74"/>
  <c r="V141" i="74" s="1"/>
  <c r="W109" i="74"/>
  <c r="W141" i="74" s="1"/>
  <c r="R109" i="74"/>
  <c r="R141" i="74" s="1"/>
  <c r="S95" i="105"/>
  <c r="S94" i="105"/>
  <c r="S96" i="105"/>
  <c r="M109" i="74"/>
  <c r="M141" i="74" s="1"/>
  <c r="N109" i="74"/>
  <c r="N141" i="74" s="1"/>
  <c r="K109" i="74"/>
  <c r="K141" i="74" s="1"/>
  <c r="L109" i="74"/>
  <c r="L141" i="74" s="1"/>
  <c r="L73" i="81"/>
  <c r="L76" i="81" s="1"/>
  <c r="J43" i="55" l="1"/>
  <c r="J65" i="81"/>
  <c r="J67" i="81" s="1"/>
  <c r="J100" i="81" s="1"/>
  <c r="J115" i="81" s="1"/>
  <c r="O94" i="105"/>
  <c r="P96" i="105"/>
  <c r="P94" i="105"/>
  <c r="O96" i="105"/>
  <c r="P95" i="105"/>
  <c r="O95" i="105"/>
  <c r="Q108" i="81"/>
  <c r="Q78" i="81"/>
  <c r="Q97" i="81" s="1"/>
  <c r="Q100" i="81" s="1"/>
  <c r="Q115" i="81" s="1"/>
  <c r="M108" i="81"/>
  <c r="M78" i="81"/>
  <c r="M97" i="81" s="1"/>
  <c r="M100" i="81" s="1"/>
  <c r="M115" i="81" s="1"/>
  <c r="S108" i="81"/>
  <c r="S78" i="81"/>
  <c r="S97" i="81" s="1"/>
  <c r="S100" i="81" s="1"/>
  <c r="S115" i="81" s="1"/>
  <c r="R108" i="81"/>
  <c r="R78" i="81"/>
  <c r="R97" i="81" s="1"/>
  <c r="R100" i="81" s="1"/>
  <c r="R115" i="81" s="1"/>
  <c r="O108" i="81"/>
  <c r="O78" i="81"/>
  <c r="O97" i="81" s="1"/>
  <c r="O100" i="81" s="1"/>
  <c r="O115" i="81" s="1"/>
  <c r="P78" i="81"/>
  <c r="P97" i="81" s="1"/>
  <c r="P100" i="81" s="1"/>
  <c r="P115" i="81" s="1"/>
  <c r="P108" i="81"/>
  <c r="L78" i="81"/>
  <c r="L97" i="81" s="1"/>
  <c r="L100" i="81" s="1"/>
  <c r="L115" i="81" s="1"/>
  <c r="U78" i="81"/>
  <c r="U97" i="81" s="1"/>
  <c r="L108" i="81"/>
  <c r="H123" i="81"/>
  <c r="H21" i="76" s="1"/>
  <c r="T78" i="81"/>
  <c r="T97" i="81" s="1"/>
  <c r="K78" i="81"/>
  <c r="N78" i="81"/>
  <c r="N97" i="81" s="1"/>
  <c r="N100" i="81" s="1"/>
  <c r="N115" i="81" s="1"/>
  <c r="N108" i="81"/>
  <c r="L52" i="82" l="1"/>
  <c r="R52" i="82"/>
  <c r="P52" i="82"/>
  <c r="Q52" i="82"/>
  <c r="N52" i="82"/>
  <c r="M52" i="82"/>
  <c r="O52" i="82"/>
  <c r="H35" i="76"/>
  <c r="H19" i="82" a="1"/>
  <c r="K52" i="82"/>
  <c r="K97" i="81"/>
  <c r="K100" i="81" l="1"/>
  <c r="K115" i="81" s="1"/>
  <c r="X43" i="76"/>
  <c r="X56" i="74" s="1"/>
  <c r="U43" i="76"/>
  <c r="U56" i="74" s="1"/>
  <c r="S42" i="76"/>
  <c r="S55" i="74" s="1"/>
  <c r="Q43" i="76"/>
  <c r="Q42" i="76"/>
  <c r="N43" i="76"/>
  <c r="N56" i="74" s="1"/>
  <c r="N42" i="76"/>
  <c r="N55" i="74" s="1"/>
  <c r="O43" i="76"/>
  <c r="O56" i="74" s="1"/>
  <c r="P43" i="76"/>
  <c r="P56" i="74" s="1"/>
  <c r="K42" i="76"/>
  <c r="K55" i="74" s="1"/>
  <c r="K43" i="76"/>
  <c r="K56" i="74" s="1"/>
  <c r="S43" i="76"/>
  <c r="S56" i="74" s="1"/>
  <c r="P42" i="76"/>
  <c r="P55" i="74" s="1"/>
  <c r="M42" i="76"/>
  <c r="M55" i="74" s="1"/>
  <c r="Q44" i="76"/>
  <c r="M43" i="76"/>
  <c r="M56" i="74" s="1"/>
  <c r="L42" i="76"/>
  <c r="L55" i="74" s="1"/>
  <c r="J42" i="76"/>
  <c r="J55" i="74" s="1"/>
  <c r="J43" i="76"/>
  <c r="J56" i="74" s="1"/>
  <c r="L43" i="76"/>
  <c r="L56" i="74" s="1"/>
  <c r="O42" i="76"/>
  <c r="O55" i="74" s="1"/>
  <c r="T42" i="76"/>
  <c r="T55" i="74" s="1"/>
  <c r="R43" i="76"/>
  <c r="R56" i="74" s="1"/>
  <c r="R42" i="76"/>
  <c r="R55" i="74" s="1"/>
  <c r="U42" i="76"/>
  <c r="U55" i="74" s="1"/>
  <c r="Y43" i="76"/>
  <c r="Y56" i="74" s="1"/>
  <c r="W42" i="76"/>
  <c r="W55" i="74" s="1"/>
  <c r="W43" i="76"/>
  <c r="W56" i="74" s="1"/>
  <c r="V42" i="76"/>
  <c r="V55" i="74" s="1"/>
  <c r="T43" i="76"/>
  <c r="T56" i="74" s="1"/>
  <c r="V43" i="76"/>
  <c r="V56" i="74" s="1"/>
  <c r="X42" i="76"/>
  <c r="X55" i="74" s="1"/>
  <c r="Y42" i="76"/>
  <c r="Y55" i="74" s="1"/>
  <c r="H20" i="82"/>
  <c r="H21" i="82"/>
  <c r="H19" i="82"/>
  <c r="H23" i="82"/>
  <c r="H22" i="82"/>
  <c r="H127" i="81" l="1" a="1"/>
  <c r="H127" i="81" s="1"/>
  <c r="H131" i="81" s="1"/>
  <c r="J45" i="55" s="1"/>
  <c r="H63" i="72" a="1"/>
  <c r="H30" i="83" a="1"/>
  <c r="H65" i="73" a="1"/>
  <c r="Q46" i="71"/>
  <c r="Q151" i="71" s="1"/>
  <c r="Q106" i="71"/>
  <c r="Q211" i="71" s="1"/>
  <c r="Q76" i="71"/>
  <c r="Q181" i="71" s="1"/>
  <c r="R157" i="74"/>
  <c r="S156" i="74"/>
  <c r="S157" i="74"/>
  <c r="R156" i="74"/>
  <c r="J156" i="74"/>
  <c r="U156" i="74"/>
  <c r="O157" i="74"/>
  <c r="L156" i="74"/>
  <c r="W156" i="74"/>
  <c r="Y157" i="74"/>
  <c r="K156" i="74"/>
  <c r="M156" i="74"/>
  <c r="N156" i="74"/>
  <c r="X156" i="74"/>
  <c r="M157" i="74"/>
  <c r="N157" i="74"/>
  <c r="U157" i="74"/>
  <c r="P157" i="74"/>
  <c r="P156" i="74"/>
  <c r="V157" i="74"/>
  <c r="X157" i="74"/>
  <c r="V156" i="74"/>
  <c r="J157" i="74"/>
  <c r="L157" i="74"/>
  <c r="K157" i="74"/>
  <c r="T156" i="74"/>
  <c r="O156" i="74"/>
  <c r="Y156" i="74"/>
  <c r="W157" i="74"/>
  <c r="T157" i="74"/>
  <c r="H48" i="76" a="1"/>
  <c r="H48" i="76" s="1"/>
  <c r="A4" i="81" l="1"/>
  <c r="H72" i="73"/>
  <c r="H71" i="73"/>
  <c r="H70" i="73"/>
  <c r="H68" i="73"/>
  <c r="H73" i="73"/>
  <c r="H65" i="73"/>
  <c r="H67" i="73"/>
  <c r="H69" i="73"/>
  <c r="H74" i="73"/>
  <c r="H66" i="73"/>
  <c r="H38" i="83"/>
  <c r="H35" i="83"/>
  <c r="H37" i="83"/>
  <c r="H33" i="83"/>
  <c r="H30" i="83"/>
  <c r="H32" i="83"/>
  <c r="H36" i="83"/>
  <c r="H39" i="83"/>
  <c r="H34" i="83"/>
  <c r="H31" i="83"/>
  <c r="H71" i="72"/>
  <c r="H69" i="72"/>
  <c r="H67" i="72"/>
  <c r="H66" i="72"/>
  <c r="H65" i="72"/>
  <c r="H64" i="72"/>
  <c r="H63" i="72"/>
  <c r="H72" i="72"/>
  <c r="H68" i="72"/>
  <c r="H70" i="72"/>
  <c r="S84" i="74"/>
  <c r="S91" i="74"/>
  <c r="S85" i="74"/>
  <c r="S86" i="74"/>
  <c r="S92" i="74"/>
  <c r="S89" i="74"/>
  <c r="S87" i="74"/>
  <c r="S90" i="74"/>
  <c r="S93" i="74"/>
  <c r="S88" i="74"/>
  <c r="R85" i="74"/>
  <c r="R87" i="74"/>
  <c r="R86" i="74"/>
  <c r="R84" i="74"/>
  <c r="R93" i="74"/>
  <c r="R92" i="74"/>
  <c r="R89" i="74"/>
  <c r="R88" i="74"/>
  <c r="R90" i="74"/>
  <c r="R91" i="74"/>
  <c r="A4" i="76"/>
  <c r="J47" i="55"/>
  <c r="W177" i="72" l="1"/>
  <c r="W212" i="72" s="1"/>
  <c r="W242" i="72" s="1"/>
  <c r="S177" i="72"/>
  <c r="S212" i="72" s="1"/>
  <c r="S242" i="72" s="1"/>
  <c r="Y177" i="72"/>
  <c r="Y212" i="72" s="1"/>
  <c r="Y242" i="72" s="1"/>
  <c r="U177" i="72"/>
  <c r="U212" i="72" s="1"/>
  <c r="U242" i="72" s="1"/>
  <c r="R177" i="72"/>
  <c r="R212" i="72" s="1"/>
  <c r="R242" i="72" s="1"/>
  <c r="X177" i="72"/>
  <c r="X212" i="72" s="1"/>
  <c r="X242" i="72" s="1"/>
  <c r="T177" i="72"/>
  <c r="T212" i="72" s="1"/>
  <c r="T242" i="72" s="1"/>
  <c r="V177" i="72"/>
  <c r="V212" i="72" s="1"/>
  <c r="V242" i="72" s="1"/>
  <c r="Y174" i="72"/>
  <c r="Y209" i="72" s="1"/>
  <c r="Y239" i="72" s="1"/>
  <c r="U174" i="72"/>
  <c r="U209" i="72" s="1"/>
  <c r="U239" i="72" s="1"/>
  <c r="X174" i="72"/>
  <c r="X209" i="72" s="1"/>
  <c r="X239" i="72" s="1"/>
  <c r="V174" i="72"/>
  <c r="V209" i="72" s="1"/>
  <c r="V239" i="72" s="1"/>
  <c r="W174" i="72"/>
  <c r="W209" i="72" s="1"/>
  <c r="W239" i="72" s="1"/>
  <c r="S174" i="72"/>
  <c r="S209" i="72" s="1"/>
  <c r="S239" i="72" s="1"/>
  <c r="T174" i="72"/>
  <c r="T209" i="72" s="1"/>
  <c r="T239" i="72" s="1"/>
  <c r="R174" i="72"/>
  <c r="R209" i="72" s="1"/>
  <c r="R239" i="72" s="1"/>
  <c r="W180" i="72"/>
  <c r="W215" i="72" s="1"/>
  <c r="W245" i="72" s="1"/>
  <c r="R180" i="72"/>
  <c r="R215" i="72" s="1"/>
  <c r="R245" i="72" s="1"/>
  <c r="T180" i="72"/>
  <c r="T215" i="72" s="1"/>
  <c r="T245" i="72" s="1"/>
  <c r="S180" i="72"/>
  <c r="S215" i="72" s="1"/>
  <c r="S245" i="72" s="1"/>
  <c r="U180" i="72"/>
  <c r="U215" i="72" s="1"/>
  <c r="U245" i="72" s="1"/>
  <c r="Y180" i="72"/>
  <c r="Y215" i="72" s="1"/>
  <c r="Y245" i="72" s="1"/>
  <c r="V180" i="72"/>
  <c r="V215" i="72" s="1"/>
  <c r="V245" i="72" s="1"/>
  <c r="X180" i="72"/>
  <c r="X215" i="72" s="1"/>
  <c r="X245" i="72" s="1"/>
  <c r="S231" i="83"/>
  <c r="S105" i="71" s="1"/>
  <c r="S210" i="71" s="1"/>
  <c r="R231" i="83"/>
  <c r="R105" i="71" s="1"/>
  <c r="R210" i="71" s="1"/>
  <c r="U231" i="83"/>
  <c r="U105" i="71" s="1"/>
  <c r="U210" i="71" s="1"/>
  <c r="P231" i="83"/>
  <c r="P105" i="71" s="1"/>
  <c r="P210" i="71" s="1"/>
  <c r="O202" i="83"/>
  <c r="O75" i="71" s="1"/>
  <c r="O180" i="71" s="1"/>
  <c r="N202" i="83"/>
  <c r="N75" i="71" s="1"/>
  <c r="N180" i="71" s="1"/>
  <c r="U202" i="83"/>
  <c r="U75" i="71" s="1"/>
  <c r="U180" i="71" s="1"/>
  <c r="T202" i="83"/>
  <c r="T75" i="71" s="1"/>
  <c r="T180" i="71" s="1"/>
  <c r="P173" i="83"/>
  <c r="P45" i="71" s="1"/>
  <c r="P150" i="71" s="1"/>
  <c r="S173" i="83"/>
  <c r="S45" i="71" s="1"/>
  <c r="S150" i="71" s="1"/>
  <c r="R173" i="83"/>
  <c r="R45" i="71" s="1"/>
  <c r="R150" i="71" s="1"/>
  <c r="Y173" i="83"/>
  <c r="Y45" i="71" s="1"/>
  <c r="Y150" i="71" s="1"/>
  <c r="T144" i="83"/>
  <c r="S144" i="83"/>
  <c r="R144" i="83"/>
  <c r="Y144" i="83"/>
  <c r="O231" i="83"/>
  <c r="O105" i="71" s="1"/>
  <c r="O210" i="71" s="1"/>
  <c r="N231" i="83"/>
  <c r="N105" i="71" s="1"/>
  <c r="N210" i="71" s="1"/>
  <c r="Q231" i="83"/>
  <c r="Q105" i="71" s="1"/>
  <c r="Q210" i="71" s="1"/>
  <c r="J231" i="83"/>
  <c r="J105" i="71" s="1"/>
  <c r="J210" i="71" s="1"/>
  <c r="M202" i="83"/>
  <c r="M75" i="71" s="1"/>
  <c r="M180" i="71" s="1"/>
  <c r="L202" i="83"/>
  <c r="Q202" i="83"/>
  <c r="Q75" i="71" s="1"/>
  <c r="Q180" i="71" s="1"/>
  <c r="P202" i="83"/>
  <c r="P75" i="71" s="1"/>
  <c r="P180" i="71" s="1"/>
  <c r="J173" i="83"/>
  <c r="J45" i="71" s="1"/>
  <c r="J150" i="71" s="1"/>
  <c r="O173" i="83"/>
  <c r="O45" i="71" s="1"/>
  <c r="O150" i="71" s="1"/>
  <c r="N173" i="83"/>
  <c r="N45" i="71" s="1"/>
  <c r="N150" i="71" s="1"/>
  <c r="Q173" i="83"/>
  <c r="Q45" i="71" s="1"/>
  <c r="Q150" i="71" s="1"/>
  <c r="P144" i="83"/>
  <c r="P146" i="72" s="1"/>
  <c r="P216" i="72" s="1"/>
  <c r="P246" i="72" s="1"/>
  <c r="O144" i="83"/>
  <c r="O146" i="72" s="1"/>
  <c r="O216" i="72" s="1"/>
  <c r="O246" i="72" s="1"/>
  <c r="N144" i="83"/>
  <c r="N146" i="72" s="1"/>
  <c r="N216" i="72" s="1"/>
  <c r="N246" i="72" s="1"/>
  <c r="K144" i="83"/>
  <c r="K146" i="72" s="1"/>
  <c r="K216" i="72" s="1"/>
  <c r="K246" i="72" s="1"/>
  <c r="M231" i="83"/>
  <c r="M105" i="71" s="1"/>
  <c r="M210" i="71" s="1"/>
  <c r="L231" i="83"/>
  <c r="L105" i="71" s="1"/>
  <c r="L210" i="71" s="1"/>
  <c r="K231" i="83"/>
  <c r="K105" i="71" s="1"/>
  <c r="K210" i="71" s="1"/>
  <c r="W202" i="83"/>
  <c r="W75" i="71" s="1"/>
  <c r="W180" i="71" s="1"/>
  <c r="V202" i="83"/>
  <c r="V75" i="71" s="1"/>
  <c r="V180" i="71" s="1"/>
  <c r="Y231" i="83"/>
  <c r="Y105" i="71" s="1"/>
  <c r="Y210" i="71" s="1"/>
  <c r="K202" i="83"/>
  <c r="K75" i="71" s="1"/>
  <c r="K180" i="71" s="1"/>
  <c r="X173" i="83"/>
  <c r="X45" i="71" s="1"/>
  <c r="X150" i="71" s="1"/>
  <c r="X202" i="83"/>
  <c r="X75" i="71" s="1"/>
  <c r="X180" i="71" s="1"/>
  <c r="M173" i="83"/>
  <c r="M45" i="71" s="1"/>
  <c r="M150" i="71" s="1"/>
  <c r="L173" i="83"/>
  <c r="L45" i="71" s="1"/>
  <c r="L150" i="71" s="1"/>
  <c r="K173" i="83"/>
  <c r="K45" i="71" s="1"/>
  <c r="K150" i="71" s="1"/>
  <c r="J144" i="83"/>
  <c r="J146" i="72" s="1"/>
  <c r="J216" i="72" s="1"/>
  <c r="J246" i="72" s="1"/>
  <c r="M144" i="83"/>
  <c r="M146" i="72" s="1"/>
  <c r="M216" i="72" s="1"/>
  <c r="M246" i="72" s="1"/>
  <c r="L144" i="83"/>
  <c r="L146" i="72" s="1"/>
  <c r="L216" i="72" s="1"/>
  <c r="L246" i="72" s="1"/>
  <c r="Q144" i="83"/>
  <c r="Q146" i="72" s="1"/>
  <c r="Q216" i="72" s="1"/>
  <c r="Q246" i="72" s="1"/>
  <c r="T231" i="83"/>
  <c r="T105" i="71" s="1"/>
  <c r="T210" i="71" s="1"/>
  <c r="J202" i="83"/>
  <c r="J75" i="71" s="1"/>
  <c r="J180" i="71" s="1"/>
  <c r="U173" i="83"/>
  <c r="U45" i="71" s="1"/>
  <c r="U150" i="71" s="1"/>
  <c r="U144" i="83"/>
  <c r="W231" i="83"/>
  <c r="W105" i="71" s="1"/>
  <c r="W210" i="71" s="1"/>
  <c r="S202" i="83"/>
  <c r="S75" i="71" s="1"/>
  <c r="S180" i="71" s="1"/>
  <c r="T173" i="83"/>
  <c r="T45" i="71" s="1"/>
  <c r="T150" i="71" s="1"/>
  <c r="X144" i="83"/>
  <c r="Y202" i="83"/>
  <c r="Y75" i="71" s="1"/>
  <c r="Y180" i="71" s="1"/>
  <c r="V144" i="83"/>
  <c r="V231" i="83"/>
  <c r="V105" i="71" s="1"/>
  <c r="V210" i="71" s="1"/>
  <c r="R202" i="83"/>
  <c r="R75" i="71" s="1"/>
  <c r="R180" i="71" s="1"/>
  <c r="W173" i="83"/>
  <c r="W45" i="71" s="1"/>
  <c r="W150" i="71" s="1"/>
  <c r="W144" i="83"/>
  <c r="X231" i="83"/>
  <c r="X105" i="71" s="1"/>
  <c r="X210" i="71" s="1"/>
  <c r="V173" i="83"/>
  <c r="V45" i="71" s="1"/>
  <c r="V150" i="71" s="1"/>
  <c r="R225" i="83"/>
  <c r="R99" i="71" s="1"/>
  <c r="R204" i="71" s="1"/>
  <c r="U225" i="83"/>
  <c r="U99" i="71" s="1"/>
  <c r="U204" i="71" s="1"/>
  <c r="T225" i="83"/>
  <c r="T99" i="71" s="1"/>
  <c r="T204" i="71" s="1"/>
  <c r="M225" i="83"/>
  <c r="M99" i="71" s="1"/>
  <c r="M204" i="71" s="1"/>
  <c r="R196" i="83"/>
  <c r="R69" i="71" s="1"/>
  <c r="R174" i="71" s="1"/>
  <c r="X196" i="83"/>
  <c r="X69" i="71" s="1"/>
  <c r="X174" i="71" s="1"/>
  <c r="M196" i="83"/>
  <c r="M69" i="71" s="1"/>
  <c r="M174" i="71" s="1"/>
  <c r="L196" i="83"/>
  <c r="L69" i="71" s="1"/>
  <c r="L174" i="71" s="1"/>
  <c r="S167" i="83"/>
  <c r="S39" i="71" s="1"/>
  <c r="S144" i="71" s="1"/>
  <c r="Q167" i="83"/>
  <c r="Q39" i="71" s="1"/>
  <c r="Q144" i="71" s="1"/>
  <c r="J167" i="83"/>
  <c r="J39" i="71" s="1"/>
  <c r="J144" i="71" s="1"/>
  <c r="X167" i="83"/>
  <c r="X39" i="71" s="1"/>
  <c r="X144" i="71" s="1"/>
  <c r="T138" i="83"/>
  <c r="S138" i="83"/>
  <c r="R138" i="83"/>
  <c r="Y138" i="83"/>
  <c r="N225" i="83"/>
  <c r="N99" i="71" s="1"/>
  <c r="N204" i="71" s="1"/>
  <c r="Q225" i="83"/>
  <c r="Q99" i="71" s="1"/>
  <c r="Q204" i="71" s="1"/>
  <c r="P225" i="83"/>
  <c r="P99" i="71" s="1"/>
  <c r="P204" i="71" s="1"/>
  <c r="W225" i="83"/>
  <c r="W99" i="71" s="1"/>
  <c r="W204" i="71" s="1"/>
  <c r="Y196" i="83"/>
  <c r="Y69" i="71" s="1"/>
  <c r="Y174" i="71" s="1"/>
  <c r="W196" i="83"/>
  <c r="W69" i="71" s="1"/>
  <c r="W174" i="71" s="1"/>
  <c r="T196" i="83"/>
  <c r="T69" i="71" s="1"/>
  <c r="T174" i="71" s="1"/>
  <c r="Q196" i="83"/>
  <c r="Q69" i="71" s="1"/>
  <c r="Q174" i="71" s="1"/>
  <c r="V167" i="83"/>
  <c r="V39" i="71" s="1"/>
  <c r="V144" i="71" s="1"/>
  <c r="K167" i="83"/>
  <c r="K39" i="71" s="1"/>
  <c r="K144" i="71" s="1"/>
  <c r="Y167" i="83"/>
  <c r="Y39" i="71" s="1"/>
  <c r="Y144" i="71" s="1"/>
  <c r="N167" i="83"/>
  <c r="N39" i="71" s="1"/>
  <c r="N144" i="71" s="1"/>
  <c r="P138" i="83"/>
  <c r="P140" i="72" s="1"/>
  <c r="P210" i="72" s="1"/>
  <c r="P240" i="72" s="1"/>
  <c r="O138" i="83"/>
  <c r="O140" i="72" s="1"/>
  <c r="O210" i="72" s="1"/>
  <c r="O240" i="72" s="1"/>
  <c r="N138" i="83"/>
  <c r="N140" i="72" s="1"/>
  <c r="N210" i="72" s="1"/>
  <c r="N240" i="72" s="1"/>
  <c r="Q138" i="83"/>
  <c r="Q140" i="72" s="1"/>
  <c r="Q210" i="72" s="1"/>
  <c r="Q240" i="72" s="1"/>
  <c r="L225" i="83"/>
  <c r="L99" i="71" s="1"/>
  <c r="L204" i="71" s="1"/>
  <c r="K225" i="83"/>
  <c r="K99" i="71" s="1"/>
  <c r="K204" i="71" s="1"/>
  <c r="J225" i="83"/>
  <c r="J99" i="71" s="1"/>
  <c r="J204" i="71" s="1"/>
  <c r="O225" i="83"/>
  <c r="O99" i="71" s="1"/>
  <c r="O204" i="71" s="1"/>
  <c r="P196" i="83"/>
  <c r="P69" i="71" s="1"/>
  <c r="P174" i="71" s="1"/>
  <c r="U196" i="83"/>
  <c r="U69" i="71" s="1"/>
  <c r="U174" i="71" s="1"/>
  <c r="S196" i="83"/>
  <c r="S69" i="71" s="1"/>
  <c r="S174" i="71" s="1"/>
  <c r="K196" i="83"/>
  <c r="K69" i="71" s="1"/>
  <c r="K174" i="71" s="1"/>
  <c r="R167" i="83"/>
  <c r="R39" i="71" s="1"/>
  <c r="R144" i="71" s="1"/>
  <c r="T167" i="83"/>
  <c r="T39" i="71" s="1"/>
  <c r="T144" i="71" s="1"/>
  <c r="O167" i="83"/>
  <c r="O39" i="71" s="1"/>
  <c r="O144" i="71" s="1"/>
  <c r="L167" i="83"/>
  <c r="L39" i="71" s="1"/>
  <c r="L144" i="71" s="1"/>
  <c r="J138" i="83"/>
  <c r="J140" i="72" s="1"/>
  <c r="J210" i="72" s="1"/>
  <c r="J240" i="72" s="1"/>
  <c r="M138" i="83"/>
  <c r="M140" i="72" s="1"/>
  <c r="M210" i="72" s="1"/>
  <c r="M240" i="72" s="1"/>
  <c r="L138" i="83"/>
  <c r="L140" i="72" s="1"/>
  <c r="L210" i="72" s="1"/>
  <c r="L240" i="72" s="1"/>
  <c r="K138" i="83"/>
  <c r="K140" i="72" s="1"/>
  <c r="K210" i="72" s="1"/>
  <c r="K240" i="72" s="1"/>
  <c r="S225" i="83"/>
  <c r="S99" i="71" s="1"/>
  <c r="S204" i="71" s="1"/>
  <c r="N196" i="83"/>
  <c r="N69" i="71" s="1"/>
  <c r="N174" i="71" s="1"/>
  <c r="M167" i="83"/>
  <c r="M39" i="71" s="1"/>
  <c r="M144" i="71" s="1"/>
  <c r="U138" i="83"/>
  <c r="V225" i="83"/>
  <c r="V99" i="71" s="1"/>
  <c r="V204" i="71" s="1"/>
  <c r="V196" i="83"/>
  <c r="V69" i="71" s="1"/>
  <c r="V174" i="71" s="1"/>
  <c r="W167" i="83"/>
  <c r="W39" i="71" s="1"/>
  <c r="W144" i="71" s="1"/>
  <c r="X138" i="83"/>
  <c r="O196" i="83"/>
  <c r="O69" i="71" s="1"/>
  <c r="O174" i="71" s="1"/>
  <c r="V138" i="83"/>
  <c r="Y225" i="83"/>
  <c r="Y99" i="71" s="1"/>
  <c r="Y204" i="71" s="1"/>
  <c r="J196" i="83"/>
  <c r="J69" i="71" s="1"/>
  <c r="J174" i="71" s="1"/>
  <c r="U167" i="83"/>
  <c r="U39" i="71" s="1"/>
  <c r="U144" i="71" s="1"/>
  <c r="W138" i="83"/>
  <c r="X225" i="83"/>
  <c r="X99" i="71" s="1"/>
  <c r="X204" i="71" s="1"/>
  <c r="P167" i="83"/>
  <c r="P39" i="71" s="1"/>
  <c r="P144" i="71" s="1"/>
  <c r="O148" i="73"/>
  <c r="O178" i="73"/>
  <c r="O238" i="73" s="1"/>
  <c r="N148" i="73"/>
  <c r="M148" i="73"/>
  <c r="Q148" i="73"/>
  <c r="N178" i="73"/>
  <c r="N238" i="73" s="1"/>
  <c r="K178" i="73"/>
  <c r="K238" i="73" s="1"/>
  <c r="J178" i="73"/>
  <c r="J238" i="73" s="1"/>
  <c r="M178" i="73"/>
  <c r="M238" i="73" s="1"/>
  <c r="P148" i="73"/>
  <c r="Q178" i="73"/>
  <c r="Q238" i="73" s="1"/>
  <c r="L148" i="73"/>
  <c r="J148" i="73"/>
  <c r="P178" i="73"/>
  <c r="P238" i="73" s="1"/>
  <c r="K148" i="73"/>
  <c r="L178" i="73"/>
  <c r="L238" i="73" s="1"/>
  <c r="Q151" i="73"/>
  <c r="P181" i="73"/>
  <c r="P241" i="73" s="1"/>
  <c r="J181" i="73"/>
  <c r="J241" i="73" s="1"/>
  <c r="N151" i="73"/>
  <c r="Q181" i="73"/>
  <c r="Q241" i="73" s="1"/>
  <c r="O151" i="73"/>
  <c r="O181" i="73"/>
  <c r="O241" i="73" s="1"/>
  <c r="P151" i="73"/>
  <c r="K151" i="73"/>
  <c r="L151" i="73"/>
  <c r="K181" i="73"/>
  <c r="K241" i="73" s="1"/>
  <c r="L181" i="73"/>
  <c r="L241" i="73" s="1"/>
  <c r="J151" i="73"/>
  <c r="N181" i="73"/>
  <c r="N241" i="73" s="1"/>
  <c r="M151" i="73"/>
  <c r="M181" i="73"/>
  <c r="M241" i="73" s="1"/>
  <c r="U179" i="72"/>
  <c r="U214" i="72" s="1"/>
  <c r="U244" i="72" s="1"/>
  <c r="S179" i="72"/>
  <c r="S214" i="72" s="1"/>
  <c r="S244" i="72" s="1"/>
  <c r="Y179" i="72"/>
  <c r="Y214" i="72" s="1"/>
  <c r="Y244" i="72" s="1"/>
  <c r="W179" i="72"/>
  <c r="W214" i="72" s="1"/>
  <c r="W244" i="72" s="1"/>
  <c r="R179" i="72"/>
  <c r="R214" i="72" s="1"/>
  <c r="R244" i="72" s="1"/>
  <c r="V179" i="72"/>
  <c r="V214" i="72" s="1"/>
  <c r="V244" i="72" s="1"/>
  <c r="X179" i="72"/>
  <c r="X214" i="72" s="1"/>
  <c r="X244" i="72" s="1"/>
  <c r="T179" i="72"/>
  <c r="T214" i="72" s="1"/>
  <c r="T244" i="72" s="1"/>
  <c r="Y173" i="72"/>
  <c r="Y208" i="72" s="1"/>
  <c r="Y238" i="72" s="1"/>
  <c r="U173" i="72"/>
  <c r="U208" i="72" s="1"/>
  <c r="U238" i="72" s="1"/>
  <c r="V173" i="72"/>
  <c r="V208" i="72" s="1"/>
  <c r="V238" i="72" s="1"/>
  <c r="T173" i="72"/>
  <c r="T208" i="72" s="1"/>
  <c r="T238" i="72" s="1"/>
  <c r="X173" i="72"/>
  <c r="X208" i="72" s="1"/>
  <c r="X238" i="72" s="1"/>
  <c r="R173" i="72"/>
  <c r="R208" i="72" s="1"/>
  <c r="R238" i="72" s="1"/>
  <c r="S173" i="72"/>
  <c r="S208" i="72" s="1"/>
  <c r="S238" i="72" s="1"/>
  <c r="W173" i="72"/>
  <c r="W208" i="72" s="1"/>
  <c r="W238" i="72" s="1"/>
  <c r="T178" i="72"/>
  <c r="T213" i="72" s="1"/>
  <c r="T243" i="72" s="1"/>
  <c r="S178" i="72"/>
  <c r="S213" i="72" s="1"/>
  <c r="S243" i="72" s="1"/>
  <c r="Y178" i="72"/>
  <c r="Y213" i="72" s="1"/>
  <c r="Y243" i="72" s="1"/>
  <c r="R178" i="72"/>
  <c r="R213" i="72" s="1"/>
  <c r="R243" i="72" s="1"/>
  <c r="U178" i="72"/>
  <c r="U213" i="72" s="1"/>
  <c r="U243" i="72" s="1"/>
  <c r="V178" i="72"/>
  <c r="V213" i="72" s="1"/>
  <c r="V243" i="72" s="1"/>
  <c r="X178" i="72"/>
  <c r="X213" i="72" s="1"/>
  <c r="X243" i="72" s="1"/>
  <c r="W178" i="72"/>
  <c r="W213" i="72" s="1"/>
  <c r="W243" i="72" s="1"/>
  <c r="L226" i="83"/>
  <c r="L100" i="71" s="1"/>
  <c r="L205" i="71" s="1"/>
  <c r="T226" i="83"/>
  <c r="T100" i="71" s="1"/>
  <c r="T205" i="71" s="1"/>
  <c r="Q226" i="83"/>
  <c r="Q100" i="71" s="1"/>
  <c r="Q205" i="71" s="1"/>
  <c r="Y226" i="83"/>
  <c r="Y100" i="71" s="1"/>
  <c r="Y205" i="71" s="1"/>
  <c r="R197" i="83"/>
  <c r="R70" i="71" s="1"/>
  <c r="R175" i="71" s="1"/>
  <c r="U197" i="83"/>
  <c r="U70" i="71" s="1"/>
  <c r="U175" i="71" s="1"/>
  <c r="T197" i="83"/>
  <c r="T70" i="71" s="1"/>
  <c r="T175" i="71" s="1"/>
  <c r="S168" i="83"/>
  <c r="S40" i="71" s="1"/>
  <c r="S145" i="71" s="1"/>
  <c r="V168" i="83"/>
  <c r="V40" i="71" s="1"/>
  <c r="V145" i="71" s="1"/>
  <c r="K197" i="83"/>
  <c r="K70" i="71" s="1"/>
  <c r="K175" i="71" s="1"/>
  <c r="T168" i="83"/>
  <c r="T40" i="71" s="1"/>
  <c r="T145" i="71" s="1"/>
  <c r="X168" i="83"/>
  <c r="X40" i="71" s="1"/>
  <c r="X145" i="71" s="1"/>
  <c r="J139" i="83"/>
  <c r="J141" i="72" s="1"/>
  <c r="J211" i="72" s="1"/>
  <c r="J241" i="72" s="1"/>
  <c r="M139" i="83"/>
  <c r="M141" i="72" s="1"/>
  <c r="M211" i="72" s="1"/>
  <c r="M241" i="72" s="1"/>
  <c r="L139" i="83"/>
  <c r="L141" i="72" s="1"/>
  <c r="L211" i="72" s="1"/>
  <c r="L241" i="72" s="1"/>
  <c r="K139" i="83"/>
  <c r="K141" i="72" s="1"/>
  <c r="K211" i="72" s="1"/>
  <c r="K241" i="72" s="1"/>
  <c r="V226" i="83"/>
  <c r="V100" i="71" s="1"/>
  <c r="V205" i="71" s="1"/>
  <c r="X226" i="83"/>
  <c r="X100" i="71" s="1"/>
  <c r="X205" i="71" s="1"/>
  <c r="S226" i="83"/>
  <c r="S100" i="71" s="1"/>
  <c r="S205" i="71" s="1"/>
  <c r="O226" i="83"/>
  <c r="O100" i="71" s="1"/>
  <c r="O205" i="71" s="1"/>
  <c r="W197" i="83"/>
  <c r="W70" i="71" s="1"/>
  <c r="W175" i="71" s="1"/>
  <c r="N197" i="83"/>
  <c r="N70" i="71" s="1"/>
  <c r="N175" i="71" s="1"/>
  <c r="Q197" i="83"/>
  <c r="Q70" i="71" s="1"/>
  <c r="Q175" i="71" s="1"/>
  <c r="M197" i="83"/>
  <c r="M70" i="71" s="1"/>
  <c r="M175" i="71" s="1"/>
  <c r="O168" i="83"/>
  <c r="O40" i="71" s="1"/>
  <c r="O145" i="71" s="1"/>
  <c r="R168" i="83"/>
  <c r="R40" i="71" s="1"/>
  <c r="R145" i="71" s="1"/>
  <c r="U168" i="83"/>
  <c r="U40" i="71" s="1"/>
  <c r="U145" i="71" s="1"/>
  <c r="P168" i="83"/>
  <c r="P40" i="71" s="1"/>
  <c r="P145" i="71" s="1"/>
  <c r="X139" i="83"/>
  <c r="W139" i="83"/>
  <c r="V139" i="83"/>
  <c r="U139" i="83"/>
  <c r="W226" i="83"/>
  <c r="W100" i="71" s="1"/>
  <c r="W205" i="71" s="1"/>
  <c r="K226" i="83"/>
  <c r="K100" i="71" s="1"/>
  <c r="K205" i="71" s="1"/>
  <c r="L197" i="83"/>
  <c r="L70" i="71" s="1"/>
  <c r="L175" i="71" s="1"/>
  <c r="X197" i="83"/>
  <c r="X70" i="71" s="1"/>
  <c r="X175" i="71" s="1"/>
  <c r="N168" i="83"/>
  <c r="N40" i="71" s="1"/>
  <c r="N145" i="71" s="1"/>
  <c r="J168" i="83"/>
  <c r="J40" i="71" s="1"/>
  <c r="J145" i="71" s="1"/>
  <c r="S139" i="83"/>
  <c r="Y139" i="83"/>
  <c r="U226" i="83"/>
  <c r="U100" i="71" s="1"/>
  <c r="U205" i="71" s="1"/>
  <c r="J226" i="83"/>
  <c r="J100" i="71" s="1"/>
  <c r="J205" i="71" s="1"/>
  <c r="Y197" i="83"/>
  <c r="Y70" i="71" s="1"/>
  <c r="Y175" i="71" s="1"/>
  <c r="W168" i="83"/>
  <c r="W40" i="71" s="1"/>
  <c r="W145" i="71" s="1"/>
  <c r="L168" i="83"/>
  <c r="L40" i="71" s="1"/>
  <c r="L145" i="71" s="1"/>
  <c r="Y168" i="83"/>
  <c r="Y40" i="71" s="1"/>
  <c r="Y145" i="71" s="1"/>
  <c r="O139" i="83"/>
  <c r="O141" i="72" s="1"/>
  <c r="O211" i="72" s="1"/>
  <c r="O241" i="72" s="1"/>
  <c r="Q139" i="83"/>
  <c r="Q141" i="72" s="1"/>
  <c r="Q211" i="72" s="1"/>
  <c r="Q241" i="72" s="1"/>
  <c r="R226" i="83"/>
  <c r="R100" i="71" s="1"/>
  <c r="R205" i="71" s="1"/>
  <c r="P226" i="83"/>
  <c r="P100" i="71" s="1"/>
  <c r="P205" i="71" s="1"/>
  <c r="S197" i="83"/>
  <c r="S70" i="71" s="1"/>
  <c r="S175" i="71" s="1"/>
  <c r="O197" i="83"/>
  <c r="O70" i="71" s="1"/>
  <c r="O175" i="71" s="1"/>
  <c r="M168" i="83"/>
  <c r="M40" i="71" s="1"/>
  <c r="M145" i="71" s="1"/>
  <c r="Q168" i="83"/>
  <c r="Q40" i="71" s="1"/>
  <c r="Q145" i="71" s="1"/>
  <c r="T139" i="83"/>
  <c r="R139" i="83"/>
  <c r="V197" i="83"/>
  <c r="V70" i="71" s="1"/>
  <c r="V175" i="71" s="1"/>
  <c r="P139" i="83"/>
  <c r="P141" i="72" s="1"/>
  <c r="P211" i="72" s="1"/>
  <c r="P241" i="72" s="1"/>
  <c r="J197" i="83"/>
  <c r="J70" i="71" s="1"/>
  <c r="J175" i="71" s="1"/>
  <c r="N139" i="83"/>
  <c r="N141" i="72" s="1"/>
  <c r="N211" i="72" s="1"/>
  <c r="N241" i="72" s="1"/>
  <c r="N226" i="83"/>
  <c r="N100" i="71" s="1"/>
  <c r="N205" i="71" s="1"/>
  <c r="P197" i="83"/>
  <c r="P70" i="71" s="1"/>
  <c r="P175" i="71" s="1"/>
  <c r="M226" i="83"/>
  <c r="M100" i="71" s="1"/>
  <c r="M205" i="71" s="1"/>
  <c r="K168" i="83"/>
  <c r="K40" i="71" s="1"/>
  <c r="K145" i="71" s="1"/>
  <c r="S222" i="83"/>
  <c r="S96" i="71" s="1"/>
  <c r="S201" i="71" s="1"/>
  <c r="R222" i="83"/>
  <c r="R96" i="71" s="1"/>
  <c r="R201" i="71" s="1"/>
  <c r="U222" i="83"/>
  <c r="U96" i="71" s="1"/>
  <c r="U201" i="71" s="1"/>
  <c r="P222" i="83"/>
  <c r="P96" i="71" s="1"/>
  <c r="P201" i="71" s="1"/>
  <c r="T193" i="83"/>
  <c r="T66" i="71" s="1"/>
  <c r="T171" i="71" s="1"/>
  <c r="S193" i="83"/>
  <c r="S66" i="71" s="1"/>
  <c r="S171" i="71" s="1"/>
  <c r="R193" i="83"/>
  <c r="R66" i="71" s="1"/>
  <c r="R171" i="71" s="1"/>
  <c r="Q193" i="83"/>
  <c r="Q66" i="71" s="1"/>
  <c r="Q171" i="71" s="1"/>
  <c r="U164" i="83"/>
  <c r="T164" i="83"/>
  <c r="S164" i="83"/>
  <c r="R164" i="83"/>
  <c r="T135" i="83"/>
  <c r="S135" i="83"/>
  <c r="R135" i="83"/>
  <c r="Y135" i="83"/>
  <c r="O222" i="83"/>
  <c r="O96" i="71" s="1"/>
  <c r="O201" i="71" s="1"/>
  <c r="L222" i="83"/>
  <c r="T222" i="83"/>
  <c r="T96" i="71" s="1"/>
  <c r="T201" i="71" s="1"/>
  <c r="P193" i="83"/>
  <c r="P66" i="71" s="1"/>
  <c r="P171" i="71" s="1"/>
  <c r="M193" i="83"/>
  <c r="Y193" i="83"/>
  <c r="Y66" i="71" s="1"/>
  <c r="Y171" i="71" s="1"/>
  <c r="Q164" i="83"/>
  <c r="J164" i="83"/>
  <c r="V164" i="83"/>
  <c r="P135" i="83"/>
  <c r="P137" i="72" s="1"/>
  <c r="P207" i="72" s="1"/>
  <c r="P237" i="72" s="1"/>
  <c r="M135" i="83"/>
  <c r="M137" i="72" s="1"/>
  <c r="M207" i="72" s="1"/>
  <c r="M237" i="72" s="1"/>
  <c r="U135" i="83"/>
  <c r="M222" i="83"/>
  <c r="Y222" i="83"/>
  <c r="Y96" i="71" s="1"/>
  <c r="Y201" i="71" s="1"/>
  <c r="X222" i="83"/>
  <c r="X96" i="71" s="1"/>
  <c r="X201" i="71" s="1"/>
  <c r="J193" i="83"/>
  <c r="V193" i="83"/>
  <c r="V66" i="71" s="1"/>
  <c r="V171" i="71" s="1"/>
  <c r="K193" i="83"/>
  <c r="K164" i="83"/>
  <c r="W164" i="83"/>
  <c r="N164" i="83"/>
  <c r="J135" i="83"/>
  <c r="J137" i="72" s="1"/>
  <c r="J207" i="72" s="1"/>
  <c r="J237" i="72" s="1"/>
  <c r="V135" i="83"/>
  <c r="Q135" i="83"/>
  <c r="Q137" i="72" s="1"/>
  <c r="Q207" i="72" s="1"/>
  <c r="Q237" i="72" s="1"/>
  <c r="V222" i="83"/>
  <c r="V96" i="71" s="1"/>
  <c r="V201" i="71" s="1"/>
  <c r="Q222" i="83"/>
  <c r="Q96" i="71" s="1"/>
  <c r="Q201" i="71" s="1"/>
  <c r="J222" i="83"/>
  <c r="W193" i="83"/>
  <c r="W66" i="71" s="1"/>
  <c r="W171" i="71" s="1"/>
  <c r="N193" i="83"/>
  <c r="N66" i="71" s="1"/>
  <c r="N171" i="71" s="1"/>
  <c r="U193" i="83"/>
  <c r="U66" i="71" s="1"/>
  <c r="U171" i="71" s="1"/>
  <c r="X164" i="83"/>
  <c r="O164" i="83"/>
  <c r="L164" i="83"/>
  <c r="W135" i="83"/>
  <c r="N135" i="83"/>
  <c r="N137" i="72" s="1"/>
  <c r="N207" i="72" s="1"/>
  <c r="N237" i="72" s="1"/>
  <c r="K135" i="83"/>
  <c r="K137" i="72" s="1"/>
  <c r="K207" i="72" s="1"/>
  <c r="K237" i="72" s="1"/>
  <c r="X193" i="83"/>
  <c r="X66" i="71" s="1"/>
  <c r="X171" i="71" s="1"/>
  <c r="P164" i="83"/>
  <c r="L135" i="83"/>
  <c r="L137" i="72" s="1"/>
  <c r="L207" i="72" s="1"/>
  <c r="L237" i="72" s="1"/>
  <c r="O135" i="83"/>
  <c r="O137" i="72" s="1"/>
  <c r="O207" i="72" s="1"/>
  <c r="O237" i="72" s="1"/>
  <c r="W222" i="83"/>
  <c r="W96" i="71" s="1"/>
  <c r="W201" i="71" s="1"/>
  <c r="O193" i="83"/>
  <c r="O66" i="71" s="1"/>
  <c r="O171" i="71" s="1"/>
  <c r="M164" i="83"/>
  <c r="Y164" i="83"/>
  <c r="N222" i="83"/>
  <c r="N96" i="71" s="1"/>
  <c r="N201" i="71" s="1"/>
  <c r="L193" i="83"/>
  <c r="X135" i="83"/>
  <c r="K222" i="83"/>
  <c r="M230" i="83"/>
  <c r="M104" i="71" s="1"/>
  <c r="M209" i="71" s="1"/>
  <c r="L230" i="83"/>
  <c r="L104" i="71" s="1"/>
  <c r="L209" i="71" s="1"/>
  <c r="K230" i="83"/>
  <c r="K104" i="71" s="1"/>
  <c r="K209" i="71" s="1"/>
  <c r="Y230" i="83"/>
  <c r="Y104" i="71" s="1"/>
  <c r="Y209" i="71" s="1"/>
  <c r="M201" i="83"/>
  <c r="M74" i="71" s="1"/>
  <c r="M179" i="71" s="1"/>
  <c r="L201" i="83"/>
  <c r="L74" i="71" s="1"/>
  <c r="L179" i="71" s="1"/>
  <c r="K201" i="83"/>
  <c r="K74" i="71" s="1"/>
  <c r="K179" i="71" s="1"/>
  <c r="X201" i="83"/>
  <c r="X74" i="71" s="1"/>
  <c r="X179" i="71" s="1"/>
  <c r="S172" i="83"/>
  <c r="S44" i="71" s="1"/>
  <c r="S149" i="71" s="1"/>
  <c r="R172" i="83"/>
  <c r="R44" i="71" s="1"/>
  <c r="R149" i="71" s="1"/>
  <c r="K172" i="83"/>
  <c r="K44" i="71" s="1"/>
  <c r="K149" i="71" s="1"/>
  <c r="Q172" i="83"/>
  <c r="Q44" i="71" s="1"/>
  <c r="Q149" i="71" s="1"/>
  <c r="J143" i="83"/>
  <c r="J145" i="72" s="1"/>
  <c r="J215" i="72" s="1"/>
  <c r="J245" i="72" s="1"/>
  <c r="M143" i="83"/>
  <c r="M145" i="72" s="1"/>
  <c r="M215" i="72" s="1"/>
  <c r="M245" i="72" s="1"/>
  <c r="L143" i="83"/>
  <c r="L145" i="72" s="1"/>
  <c r="L215" i="72" s="1"/>
  <c r="L245" i="72" s="1"/>
  <c r="K143" i="83"/>
  <c r="K145" i="72" s="1"/>
  <c r="K215" i="72" s="1"/>
  <c r="K245" i="72" s="1"/>
  <c r="W230" i="83"/>
  <c r="W104" i="71" s="1"/>
  <c r="W209" i="71" s="1"/>
  <c r="V230" i="83"/>
  <c r="V104" i="71" s="1"/>
  <c r="V209" i="71" s="1"/>
  <c r="X230" i="83"/>
  <c r="X104" i="71" s="1"/>
  <c r="X209" i="71" s="1"/>
  <c r="T230" i="83"/>
  <c r="T104" i="71" s="1"/>
  <c r="T209" i="71" s="1"/>
  <c r="W201" i="83"/>
  <c r="W74" i="71" s="1"/>
  <c r="W179" i="71" s="1"/>
  <c r="V201" i="83"/>
  <c r="V74" i="71" s="1"/>
  <c r="V179" i="71" s="1"/>
  <c r="Y201" i="83"/>
  <c r="Y74" i="71" s="1"/>
  <c r="Y179" i="71" s="1"/>
  <c r="J201" i="83"/>
  <c r="J74" i="71" s="1"/>
  <c r="J179" i="71" s="1"/>
  <c r="X172" i="83"/>
  <c r="X44" i="71" s="1"/>
  <c r="X149" i="71" s="1"/>
  <c r="O172" i="83"/>
  <c r="O44" i="71" s="1"/>
  <c r="O149" i="71" s="1"/>
  <c r="N172" i="83"/>
  <c r="N44" i="71" s="1"/>
  <c r="N149" i="71" s="1"/>
  <c r="Y172" i="83"/>
  <c r="Y44" i="71" s="1"/>
  <c r="Y149" i="71" s="1"/>
  <c r="X143" i="83"/>
  <c r="W143" i="83"/>
  <c r="V143" i="83"/>
  <c r="U143" i="83"/>
  <c r="R230" i="83"/>
  <c r="R104" i="71" s="1"/>
  <c r="R209" i="71" s="1"/>
  <c r="P230" i="83"/>
  <c r="P104" i="71" s="1"/>
  <c r="P209" i="71" s="1"/>
  <c r="R201" i="83"/>
  <c r="R74" i="71" s="1"/>
  <c r="R179" i="71" s="1"/>
  <c r="T201" i="83"/>
  <c r="T74" i="71" s="1"/>
  <c r="T179" i="71" s="1"/>
  <c r="M172" i="83"/>
  <c r="M44" i="71" s="1"/>
  <c r="M149" i="71" s="1"/>
  <c r="P172" i="83"/>
  <c r="P44" i="71" s="1"/>
  <c r="P149" i="71" s="1"/>
  <c r="S143" i="83"/>
  <c r="Y143" i="83"/>
  <c r="N230" i="83"/>
  <c r="N104" i="71" s="1"/>
  <c r="N209" i="71" s="1"/>
  <c r="J230" i="83"/>
  <c r="J104" i="71" s="1"/>
  <c r="J209" i="71" s="1"/>
  <c r="N201" i="83"/>
  <c r="N74" i="71" s="1"/>
  <c r="N179" i="71" s="1"/>
  <c r="P201" i="83"/>
  <c r="P74" i="71" s="1"/>
  <c r="P179" i="71" s="1"/>
  <c r="V172" i="83"/>
  <c r="V44" i="71" s="1"/>
  <c r="V149" i="71" s="1"/>
  <c r="J172" i="83"/>
  <c r="J44" i="71" s="1"/>
  <c r="J149" i="71" s="1"/>
  <c r="O143" i="83"/>
  <c r="O145" i="72" s="1"/>
  <c r="O215" i="72" s="1"/>
  <c r="O245" i="72" s="1"/>
  <c r="Q143" i="83"/>
  <c r="Q145" i="72" s="1"/>
  <c r="Q215" i="72" s="1"/>
  <c r="Q245" i="72" s="1"/>
  <c r="S230" i="83"/>
  <c r="S104" i="71" s="1"/>
  <c r="S209" i="71" s="1"/>
  <c r="U230" i="83"/>
  <c r="U104" i="71" s="1"/>
  <c r="U209" i="71" s="1"/>
  <c r="S201" i="83"/>
  <c r="S74" i="71" s="1"/>
  <c r="S179" i="71" s="1"/>
  <c r="U201" i="83"/>
  <c r="U74" i="71" s="1"/>
  <c r="U179" i="71" s="1"/>
  <c r="T172" i="83"/>
  <c r="T44" i="71" s="1"/>
  <c r="T149" i="71" s="1"/>
  <c r="L172" i="83"/>
  <c r="L44" i="71" s="1"/>
  <c r="L149" i="71" s="1"/>
  <c r="T143" i="83"/>
  <c r="R143" i="83"/>
  <c r="O201" i="83"/>
  <c r="O74" i="71" s="1"/>
  <c r="O179" i="71" s="1"/>
  <c r="P143" i="83"/>
  <c r="P145" i="72" s="1"/>
  <c r="P215" i="72" s="1"/>
  <c r="P245" i="72" s="1"/>
  <c r="Q201" i="83"/>
  <c r="Q74" i="71" s="1"/>
  <c r="Q179" i="71" s="1"/>
  <c r="N143" i="83"/>
  <c r="N145" i="72" s="1"/>
  <c r="N215" i="72" s="1"/>
  <c r="N245" i="72" s="1"/>
  <c r="O230" i="83"/>
  <c r="O104" i="71" s="1"/>
  <c r="O209" i="71" s="1"/>
  <c r="W172" i="83"/>
  <c r="W44" i="71" s="1"/>
  <c r="W149" i="71" s="1"/>
  <c r="Q230" i="83"/>
  <c r="Q104" i="71" s="1"/>
  <c r="Q209" i="71" s="1"/>
  <c r="U172" i="83"/>
  <c r="U44" i="71" s="1"/>
  <c r="U149" i="71" s="1"/>
  <c r="P180" i="73"/>
  <c r="P240" i="73" s="1"/>
  <c r="M180" i="73"/>
  <c r="M240" i="73" s="1"/>
  <c r="O150" i="73"/>
  <c r="M150" i="73"/>
  <c r="Q150" i="73"/>
  <c r="J150" i="73"/>
  <c r="K180" i="73"/>
  <c r="K240" i="73" s="1"/>
  <c r="K150" i="73"/>
  <c r="N180" i="73"/>
  <c r="N240" i="73" s="1"/>
  <c r="O180" i="73"/>
  <c r="O240" i="73" s="1"/>
  <c r="J180" i="73"/>
  <c r="J240" i="73" s="1"/>
  <c r="Q180" i="73"/>
  <c r="Q240" i="73" s="1"/>
  <c r="L180" i="73"/>
  <c r="L240" i="73" s="1"/>
  <c r="N150" i="73"/>
  <c r="L150" i="73"/>
  <c r="P150" i="73"/>
  <c r="M179" i="73"/>
  <c r="M239" i="73" s="1"/>
  <c r="L179" i="73"/>
  <c r="L239" i="73" s="1"/>
  <c r="K149" i="73"/>
  <c r="O179" i="73"/>
  <c r="O239" i="73" s="1"/>
  <c r="K179" i="73"/>
  <c r="K239" i="73" s="1"/>
  <c r="J149" i="73"/>
  <c r="J179" i="73"/>
  <c r="J239" i="73" s="1"/>
  <c r="L149" i="73"/>
  <c r="P149" i="73"/>
  <c r="M149" i="73"/>
  <c r="P179" i="73"/>
  <c r="P239" i="73" s="1"/>
  <c r="O149" i="73"/>
  <c r="N179" i="73"/>
  <c r="N239" i="73" s="1"/>
  <c r="Q179" i="73"/>
  <c r="Q239" i="73" s="1"/>
  <c r="N149" i="73"/>
  <c r="Q149" i="73"/>
  <c r="Y181" i="72"/>
  <c r="Y216" i="72" s="1"/>
  <c r="Y246" i="72" s="1"/>
  <c r="U181" i="72"/>
  <c r="U216" i="72" s="1"/>
  <c r="U246" i="72" s="1"/>
  <c r="X181" i="72"/>
  <c r="X216" i="72" s="1"/>
  <c r="X246" i="72" s="1"/>
  <c r="T181" i="72"/>
  <c r="T216" i="72" s="1"/>
  <c r="T246" i="72" s="1"/>
  <c r="V181" i="72"/>
  <c r="V216" i="72" s="1"/>
  <c r="V246" i="72" s="1"/>
  <c r="R181" i="72"/>
  <c r="R216" i="72" s="1"/>
  <c r="R246" i="72" s="1"/>
  <c r="S181" i="72"/>
  <c r="S216" i="72" s="1"/>
  <c r="S246" i="72" s="1"/>
  <c r="W181" i="72"/>
  <c r="W216" i="72" s="1"/>
  <c r="W246" i="72" s="1"/>
  <c r="U175" i="72"/>
  <c r="U210" i="72" s="1"/>
  <c r="U240" i="72" s="1"/>
  <c r="S175" i="72"/>
  <c r="S210" i="72" s="1"/>
  <c r="S240" i="72" s="1"/>
  <c r="Y175" i="72"/>
  <c r="Y210" i="72" s="1"/>
  <c r="Y240" i="72" s="1"/>
  <c r="W175" i="72"/>
  <c r="W210" i="72" s="1"/>
  <c r="W240" i="72" s="1"/>
  <c r="R175" i="72"/>
  <c r="R210" i="72" s="1"/>
  <c r="R240" i="72" s="1"/>
  <c r="X175" i="72"/>
  <c r="X210" i="72" s="1"/>
  <c r="X240" i="72" s="1"/>
  <c r="T175" i="72"/>
  <c r="T210" i="72" s="1"/>
  <c r="T240" i="72" s="1"/>
  <c r="V175" i="72"/>
  <c r="V210" i="72" s="1"/>
  <c r="V240" i="72" s="1"/>
  <c r="L228" i="83"/>
  <c r="L102" i="71" s="1"/>
  <c r="L207" i="71" s="1"/>
  <c r="T228" i="83"/>
  <c r="T102" i="71" s="1"/>
  <c r="T207" i="71" s="1"/>
  <c r="Q228" i="83"/>
  <c r="Q102" i="71" s="1"/>
  <c r="Q207" i="71" s="1"/>
  <c r="W199" i="83"/>
  <c r="W72" i="71" s="1"/>
  <c r="W177" i="71" s="1"/>
  <c r="J228" i="83"/>
  <c r="J102" i="71" s="1"/>
  <c r="J207" i="71" s="1"/>
  <c r="L199" i="83"/>
  <c r="L72" i="71" s="1"/>
  <c r="L177" i="71" s="1"/>
  <c r="K199" i="83"/>
  <c r="K72" i="71" s="1"/>
  <c r="K177" i="71" s="1"/>
  <c r="W170" i="83"/>
  <c r="W42" i="71" s="1"/>
  <c r="W147" i="71" s="1"/>
  <c r="X199" i="83"/>
  <c r="X72" i="71" s="1"/>
  <c r="X177" i="71" s="1"/>
  <c r="L170" i="83"/>
  <c r="L42" i="71" s="1"/>
  <c r="L147" i="71" s="1"/>
  <c r="T170" i="83"/>
  <c r="T42" i="71" s="1"/>
  <c r="T147" i="71" s="1"/>
  <c r="X170" i="83"/>
  <c r="X42" i="71" s="1"/>
  <c r="X147" i="71" s="1"/>
  <c r="J141" i="83"/>
  <c r="J143" i="72" s="1"/>
  <c r="J213" i="72" s="1"/>
  <c r="J243" i="72" s="1"/>
  <c r="M141" i="83"/>
  <c r="M143" i="72" s="1"/>
  <c r="M213" i="72" s="1"/>
  <c r="M243" i="72" s="1"/>
  <c r="L141" i="83"/>
  <c r="L143" i="72" s="1"/>
  <c r="L213" i="72" s="1"/>
  <c r="L243" i="72" s="1"/>
  <c r="K141" i="83"/>
  <c r="K143" i="72" s="1"/>
  <c r="K213" i="72" s="1"/>
  <c r="K243" i="72" s="1"/>
  <c r="V228" i="83"/>
  <c r="V102" i="71" s="1"/>
  <c r="V207" i="71" s="1"/>
  <c r="X228" i="83"/>
  <c r="X102" i="71" s="1"/>
  <c r="X207" i="71" s="1"/>
  <c r="S228" i="83"/>
  <c r="S102" i="71" s="1"/>
  <c r="S207" i="71" s="1"/>
  <c r="O228" i="83"/>
  <c r="O102" i="71" s="1"/>
  <c r="O207" i="71" s="1"/>
  <c r="S199" i="83"/>
  <c r="S72" i="71" s="1"/>
  <c r="S177" i="71" s="1"/>
  <c r="V199" i="83"/>
  <c r="V72" i="71" s="1"/>
  <c r="V177" i="71" s="1"/>
  <c r="Y199" i="83"/>
  <c r="Y72" i="71" s="1"/>
  <c r="Y177" i="71" s="1"/>
  <c r="J199" i="83"/>
  <c r="J72" i="71" s="1"/>
  <c r="J177" i="71" s="1"/>
  <c r="S170" i="83"/>
  <c r="S42" i="71" s="1"/>
  <c r="S147" i="71" s="1"/>
  <c r="V170" i="83"/>
  <c r="V42" i="71" s="1"/>
  <c r="V147" i="71" s="1"/>
  <c r="U170" i="83"/>
  <c r="U42" i="71" s="1"/>
  <c r="U147" i="71" s="1"/>
  <c r="P170" i="83"/>
  <c r="P42" i="71" s="1"/>
  <c r="P147" i="71" s="1"/>
  <c r="X141" i="83"/>
  <c r="W141" i="83"/>
  <c r="V141" i="83"/>
  <c r="U141" i="83"/>
  <c r="W228" i="83"/>
  <c r="W102" i="71" s="1"/>
  <c r="W207" i="71" s="1"/>
  <c r="K228" i="83"/>
  <c r="K102" i="71" s="1"/>
  <c r="K207" i="71" s="1"/>
  <c r="R199" i="83"/>
  <c r="R72" i="71" s="1"/>
  <c r="R177" i="71" s="1"/>
  <c r="T199" i="83"/>
  <c r="T72" i="71" s="1"/>
  <c r="T177" i="71" s="1"/>
  <c r="R170" i="83"/>
  <c r="R42" i="71" s="1"/>
  <c r="R147" i="71" s="1"/>
  <c r="J170" i="83"/>
  <c r="J42" i="71" s="1"/>
  <c r="J147" i="71" s="1"/>
  <c r="S141" i="83"/>
  <c r="Y141" i="83"/>
  <c r="U228" i="83"/>
  <c r="U102" i="71" s="1"/>
  <c r="U207" i="71" s="1"/>
  <c r="Y228" i="83"/>
  <c r="Y102" i="71" s="1"/>
  <c r="Y207" i="71" s="1"/>
  <c r="N199" i="83"/>
  <c r="N72" i="71" s="1"/>
  <c r="N177" i="71" s="1"/>
  <c r="P199" i="83"/>
  <c r="P72" i="71" s="1"/>
  <c r="P177" i="71" s="1"/>
  <c r="N170" i="83"/>
  <c r="N42" i="71" s="1"/>
  <c r="N147" i="71" s="1"/>
  <c r="Y170" i="83"/>
  <c r="Y42" i="71" s="1"/>
  <c r="Y147" i="71" s="1"/>
  <c r="O141" i="83"/>
  <c r="O143" i="72" s="1"/>
  <c r="O213" i="72" s="1"/>
  <c r="O243" i="72" s="1"/>
  <c r="Q141" i="83"/>
  <c r="Q143" i="72" s="1"/>
  <c r="Q213" i="72" s="1"/>
  <c r="Q243" i="72" s="1"/>
  <c r="R228" i="83"/>
  <c r="R102" i="71" s="1"/>
  <c r="R207" i="71" s="1"/>
  <c r="P228" i="83"/>
  <c r="P102" i="71" s="1"/>
  <c r="P207" i="71" s="1"/>
  <c r="O199" i="83"/>
  <c r="O72" i="71" s="1"/>
  <c r="O177" i="71" s="1"/>
  <c r="U199" i="83"/>
  <c r="U72" i="71" s="1"/>
  <c r="U177" i="71" s="1"/>
  <c r="O170" i="83"/>
  <c r="O42" i="71" s="1"/>
  <c r="O147" i="71" s="1"/>
  <c r="Q170" i="83"/>
  <c r="Q42" i="71" s="1"/>
  <c r="Q147" i="71" s="1"/>
  <c r="T141" i="83"/>
  <c r="R141" i="83"/>
  <c r="M199" i="83"/>
  <c r="M72" i="71" s="1"/>
  <c r="M177" i="71" s="1"/>
  <c r="P141" i="83"/>
  <c r="P143" i="72" s="1"/>
  <c r="P213" i="72" s="1"/>
  <c r="P243" i="72" s="1"/>
  <c r="Q199" i="83"/>
  <c r="Q72" i="71" s="1"/>
  <c r="Q177" i="71" s="1"/>
  <c r="N141" i="83"/>
  <c r="N143" i="72" s="1"/>
  <c r="N213" i="72" s="1"/>
  <c r="N243" i="72" s="1"/>
  <c r="N228" i="83"/>
  <c r="N102" i="71" s="1"/>
  <c r="N207" i="71" s="1"/>
  <c r="M170" i="83"/>
  <c r="M42" i="71" s="1"/>
  <c r="M147" i="71" s="1"/>
  <c r="K170" i="83"/>
  <c r="K42" i="71" s="1"/>
  <c r="K147" i="71" s="1"/>
  <c r="M228" i="83"/>
  <c r="M102" i="71" s="1"/>
  <c r="M207" i="71" s="1"/>
  <c r="L229" i="83"/>
  <c r="L103" i="71" s="1"/>
  <c r="L208" i="71" s="1"/>
  <c r="T229" i="83"/>
  <c r="T103" i="71" s="1"/>
  <c r="T208" i="71" s="1"/>
  <c r="Q229" i="83"/>
  <c r="Q103" i="71" s="1"/>
  <c r="Q208" i="71" s="1"/>
  <c r="W200" i="83"/>
  <c r="W73" i="71" s="1"/>
  <c r="W178" i="71" s="1"/>
  <c r="Y229" i="83"/>
  <c r="Y103" i="71" s="1"/>
  <c r="Y208" i="71" s="1"/>
  <c r="L200" i="83"/>
  <c r="L73" i="71" s="1"/>
  <c r="L178" i="71" s="1"/>
  <c r="K200" i="83"/>
  <c r="K73" i="71" s="1"/>
  <c r="K178" i="71" s="1"/>
  <c r="W171" i="83"/>
  <c r="W43" i="71" s="1"/>
  <c r="W148" i="71" s="1"/>
  <c r="V171" i="83"/>
  <c r="V43" i="71" s="1"/>
  <c r="V148" i="71" s="1"/>
  <c r="X200" i="83"/>
  <c r="X73" i="71" s="1"/>
  <c r="X178" i="71" s="1"/>
  <c r="T171" i="83"/>
  <c r="T43" i="71" s="1"/>
  <c r="T148" i="71" s="1"/>
  <c r="X171" i="83"/>
  <c r="X43" i="71" s="1"/>
  <c r="X148" i="71" s="1"/>
  <c r="J142" i="83"/>
  <c r="J144" i="72" s="1"/>
  <c r="J214" i="72" s="1"/>
  <c r="J244" i="72" s="1"/>
  <c r="M142" i="83"/>
  <c r="M144" i="72" s="1"/>
  <c r="M214" i="72" s="1"/>
  <c r="M244" i="72" s="1"/>
  <c r="L142" i="83"/>
  <c r="L144" i="72" s="1"/>
  <c r="L214" i="72" s="1"/>
  <c r="L244" i="72" s="1"/>
  <c r="K142" i="83"/>
  <c r="K144" i="72" s="1"/>
  <c r="K214" i="72" s="1"/>
  <c r="K244" i="72" s="1"/>
  <c r="V229" i="83"/>
  <c r="V103" i="71" s="1"/>
  <c r="V208" i="71" s="1"/>
  <c r="X229" i="83"/>
  <c r="X103" i="71" s="1"/>
  <c r="X208" i="71" s="1"/>
  <c r="S229" i="83"/>
  <c r="S103" i="71" s="1"/>
  <c r="S208" i="71" s="1"/>
  <c r="O229" i="83"/>
  <c r="O103" i="71" s="1"/>
  <c r="O208" i="71" s="1"/>
  <c r="S200" i="83"/>
  <c r="S73" i="71" s="1"/>
  <c r="S178" i="71" s="1"/>
  <c r="V200" i="83"/>
  <c r="V73" i="71" s="1"/>
  <c r="V178" i="71" s="1"/>
  <c r="Y200" i="83"/>
  <c r="Y73" i="71" s="1"/>
  <c r="Y178" i="71" s="1"/>
  <c r="J200" i="83"/>
  <c r="J73" i="71" s="1"/>
  <c r="J178" i="71" s="1"/>
  <c r="S171" i="83"/>
  <c r="S43" i="71" s="1"/>
  <c r="S148" i="71" s="1"/>
  <c r="R171" i="83"/>
  <c r="R43" i="71" s="1"/>
  <c r="R148" i="71" s="1"/>
  <c r="U171" i="83"/>
  <c r="U43" i="71" s="1"/>
  <c r="U148" i="71" s="1"/>
  <c r="P171" i="83"/>
  <c r="P43" i="71" s="1"/>
  <c r="P148" i="71" s="1"/>
  <c r="X142" i="83"/>
  <c r="W142" i="83"/>
  <c r="V142" i="83"/>
  <c r="U142" i="83"/>
  <c r="W229" i="83"/>
  <c r="W103" i="71" s="1"/>
  <c r="W208" i="71" s="1"/>
  <c r="K229" i="83"/>
  <c r="K103" i="71" s="1"/>
  <c r="K208" i="71" s="1"/>
  <c r="R200" i="83"/>
  <c r="R73" i="71" s="1"/>
  <c r="R178" i="71" s="1"/>
  <c r="T200" i="83"/>
  <c r="T73" i="71" s="1"/>
  <c r="T178" i="71" s="1"/>
  <c r="N171" i="83"/>
  <c r="N43" i="71" s="1"/>
  <c r="N148" i="71" s="1"/>
  <c r="J171" i="83"/>
  <c r="J43" i="71" s="1"/>
  <c r="J148" i="71" s="1"/>
  <c r="S142" i="83"/>
  <c r="Y142" i="83"/>
  <c r="U229" i="83"/>
  <c r="U103" i="71" s="1"/>
  <c r="U208" i="71" s="1"/>
  <c r="J229" i="83"/>
  <c r="J103" i="71" s="1"/>
  <c r="J208" i="71" s="1"/>
  <c r="N200" i="83"/>
  <c r="N73" i="71" s="1"/>
  <c r="N178" i="71" s="1"/>
  <c r="P200" i="83"/>
  <c r="P73" i="71" s="1"/>
  <c r="P178" i="71" s="1"/>
  <c r="L171" i="83"/>
  <c r="L43" i="71" s="1"/>
  <c r="L148" i="71" s="1"/>
  <c r="Y171" i="83"/>
  <c r="Y43" i="71" s="1"/>
  <c r="Y148" i="71" s="1"/>
  <c r="O142" i="83"/>
  <c r="O144" i="72" s="1"/>
  <c r="O214" i="72" s="1"/>
  <c r="O244" i="72" s="1"/>
  <c r="Q142" i="83"/>
  <c r="Q144" i="72" s="1"/>
  <c r="Q214" i="72" s="1"/>
  <c r="Q244" i="72" s="1"/>
  <c r="R229" i="83"/>
  <c r="R103" i="71" s="1"/>
  <c r="R208" i="71" s="1"/>
  <c r="P229" i="83"/>
  <c r="P103" i="71" s="1"/>
  <c r="P208" i="71" s="1"/>
  <c r="O200" i="83"/>
  <c r="O73" i="71" s="1"/>
  <c r="O178" i="71" s="1"/>
  <c r="U200" i="83"/>
  <c r="U73" i="71" s="1"/>
  <c r="U178" i="71" s="1"/>
  <c r="O171" i="83"/>
  <c r="O43" i="71" s="1"/>
  <c r="O148" i="71" s="1"/>
  <c r="Q171" i="83"/>
  <c r="Q43" i="71" s="1"/>
  <c r="Q148" i="71" s="1"/>
  <c r="T142" i="83"/>
  <c r="R142" i="83"/>
  <c r="M200" i="83"/>
  <c r="M73" i="71" s="1"/>
  <c r="M178" i="71" s="1"/>
  <c r="P142" i="83"/>
  <c r="P144" i="72" s="1"/>
  <c r="P214" i="72" s="1"/>
  <c r="P244" i="72" s="1"/>
  <c r="Q200" i="83"/>
  <c r="Q73" i="71" s="1"/>
  <c r="Q178" i="71" s="1"/>
  <c r="N142" i="83"/>
  <c r="N144" i="72" s="1"/>
  <c r="N214" i="72" s="1"/>
  <c r="N244" i="72" s="1"/>
  <c r="N229" i="83"/>
  <c r="N103" i="71" s="1"/>
  <c r="N208" i="71" s="1"/>
  <c r="M171" i="83"/>
  <c r="M43" i="71" s="1"/>
  <c r="M148" i="71" s="1"/>
  <c r="M229" i="83"/>
  <c r="M103" i="71" s="1"/>
  <c r="M208" i="71" s="1"/>
  <c r="K171" i="83"/>
  <c r="K43" i="71" s="1"/>
  <c r="K148" i="71" s="1"/>
  <c r="M147" i="73"/>
  <c r="P177" i="73"/>
  <c r="P237" i="73" s="1"/>
  <c r="O177" i="73"/>
  <c r="O237" i="73" s="1"/>
  <c r="K177" i="73"/>
  <c r="K237" i="73" s="1"/>
  <c r="L147" i="73"/>
  <c r="Q147" i="73"/>
  <c r="O147" i="73"/>
  <c r="Q177" i="73"/>
  <c r="Q237" i="73" s="1"/>
  <c r="P147" i="73"/>
  <c r="N147" i="73"/>
  <c r="J147" i="73"/>
  <c r="L177" i="73"/>
  <c r="L237" i="73" s="1"/>
  <c r="K147" i="73"/>
  <c r="M177" i="73"/>
  <c r="M237" i="73" s="1"/>
  <c r="N177" i="73"/>
  <c r="N237" i="73" s="1"/>
  <c r="J177" i="73"/>
  <c r="J237" i="73" s="1"/>
  <c r="P176" i="73"/>
  <c r="P236" i="73" s="1"/>
  <c r="J176" i="73"/>
  <c r="J236" i="73" s="1"/>
  <c r="K146" i="73"/>
  <c r="Q146" i="73"/>
  <c r="O176" i="73"/>
  <c r="O236" i="73" s="1"/>
  <c r="L146" i="73"/>
  <c r="P146" i="73"/>
  <c r="M176" i="73"/>
  <c r="M236" i="73" s="1"/>
  <c r="M146" i="73"/>
  <c r="O146" i="73"/>
  <c r="N176" i="73"/>
  <c r="N236" i="73" s="1"/>
  <c r="Q176" i="73"/>
  <c r="Q236" i="73" s="1"/>
  <c r="J146" i="73"/>
  <c r="K176" i="73"/>
  <c r="K236" i="73" s="1"/>
  <c r="N146" i="73"/>
  <c r="L176" i="73"/>
  <c r="L236" i="73" s="1"/>
  <c r="Q152" i="73"/>
  <c r="J182" i="73"/>
  <c r="J242" i="73" s="1"/>
  <c r="M182" i="73"/>
  <c r="M242" i="73" s="1"/>
  <c r="K182" i="73"/>
  <c r="K242" i="73" s="1"/>
  <c r="Q182" i="73"/>
  <c r="Q242" i="73" s="1"/>
  <c r="O182" i="73"/>
  <c r="O242" i="73" s="1"/>
  <c r="K152" i="73"/>
  <c r="J152" i="73"/>
  <c r="O152" i="73"/>
  <c r="P182" i="73"/>
  <c r="P242" i="73" s="1"/>
  <c r="L152" i="73"/>
  <c r="L182" i="73"/>
  <c r="L242" i="73" s="1"/>
  <c r="N152" i="73"/>
  <c r="N182" i="73"/>
  <c r="N242" i="73" s="1"/>
  <c r="P152" i="73"/>
  <c r="M152" i="73"/>
  <c r="Y172" i="72"/>
  <c r="Y207" i="72" s="1"/>
  <c r="Y237" i="72" s="1"/>
  <c r="V172" i="72"/>
  <c r="V207" i="72" s="1"/>
  <c r="V237" i="72" s="1"/>
  <c r="X172" i="72"/>
  <c r="X207" i="72" s="1"/>
  <c r="X237" i="72" s="1"/>
  <c r="U172" i="72"/>
  <c r="U207" i="72" s="1"/>
  <c r="U237" i="72" s="1"/>
  <c r="W172" i="72"/>
  <c r="W207" i="72" s="1"/>
  <c r="W237" i="72" s="1"/>
  <c r="R172" i="72"/>
  <c r="R207" i="72" s="1"/>
  <c r="R237" i="72" s="1"/>
  <c r="T172" i="72"/>
  <c r="T207" i="72" s="1"/>
  <c r="T237" i="72" s="1"/>
  <c r="S172" i="72"/>
  <c r="S207" i="72" s="1"/>
  <c r="S237" i="72" s="1"/>
  <c r="W176" i="72"/>
  <c r="W211" i="72" s="1"/>
  <c r="W241" i="72" s="1"/>
  <c r="S176" i="72"/>
  <c r="S211" i="72" s="1"/>
  <c r="S241" i="72" s="1"/>
  <c r="T176" i="72"/>
  <c r="T211" i="72" s="1"/>
  <c r="T241" i="72" s="1"/>
  <c r="R176" i="72"/>
  <c r="R211" i="72" s="1"/>
  <c r="R241" i="72" s="1"/>
  <c r="U176" i="72"/>
  <c r="U211" i="72" s="1"/>
  <c r="U241" i="72" s="1"/>
  <c r="Y176" i="72"/>
  <c r="Y211" i="72" s="1"/>
  <c r="Y241" i="72" s="1"/>
  <c r="X176" i="72"/>
  <c r="X211" i="72" s="1"/>
  <c r="X241" i="72" s="1"/>
  <c r="V176" i="72"/>
  <c r="V211" i="72" s="1"/>
  <c r="V241" i="72" s="1"/>
  <c r="V223" i="83"/>
  <c r="V97" i="71" s="1"/>
  <c r="V202" i="71" s="1"/>
  <c r="Q223" i="83"/>
  <c r="Q97" i="71" s="1"/>
  <c r="Q202" i="71" s="1"/>
  <c r="W223" i="83"/>
  <c r="W97" i="71" s="1"/>
  <c r="W202" i="71" s="1"/>
  <c r="K223" i="83"/>
  <c r="K97" i="71" s="1"/>
  <c r="K202" i="71" s="1"/>
  <c r="X194" i="83"/>
  <c r="X67" i="71" s="1"/>
  <c r="X172" i="71" s="1"/>
  <c r="W194" i="83"/>
  <c r="W67" i="71" s="1"/>
  <c r="W172" i="71" s="1"/>
  <c r="V194" i="83"/>
  <c r="V67" i="71" s="1"/>
  <c r="V172" i="71" s="1"/>
  <c r="Y194" i="83"/>
  <c r="Y67" i="71" s="1"/>
  <c r="Y172" i="71" s="1"/>
  <c r="Y165" i="83"/>
  <c r="Y37" i="71" s="1"/>
  <c r="Y142" i="71" s="1"/>
  <c r="R223" i="83"/>
  <c r="R97" i="71" s="1"/>
  <c r="R202" i="71" s="1"/>
  <c r="X223" i="83"/>
  <c r="X97" i="71" s="1"/>
  <c r="X202" i="71" s="1"/>
  <c r="N223" i="83"/>
  <c r="N97" i="71" s="1"/>
  <c r="N202" i="71" s="1"/>
  <c r="P223" i="83"/>
  <c r="P97" i="71" s="1"/>
  <c r="P202" i="71" s="1"/>
  <c r="T194" i="83"/>
  <c r="T67" i="71" s="1"/>
  <c r="T172" i="71" s="1"/>
  <c r="S194" i="83"/>
  <c r="S67" i="71" s="1"/>
  <c r="S172" i="71" s="1"/>
  <c r="R194" i="83"/>
  <c r="R67" i="71" s="1"/>
  <c r="R172" i="71" s="1"/>
  <c r="Q194" i="83"/>
  <c r="Q67" i="71" s="1"/>
  <c r="Q172" i="71" s="1"/>
  <c r="U165" i="83"/>
  <c r="U37" i="71" s="1"/>
  <c r="U142" i="71" s="1"/>
  <c r="T165" i="83"/>
  <c r="T37" i="71" s="1"/>
  <c r="T142" i="71" s="1"/>
  <c r="S165" i="83"/>
  <c r="S37" i="71" s="1"/>
  <c r="S142" i="71" s="1"/>
  <c r="R165" i="83"/>
  <c r="R37" i="71" s="1"/>
  <c r="R142" i="71" s="1"/>
  <c r="T136" i="83"/>
  <c r="S136" i="83"/>
  <c r="R136" i="83"/>
  <c r="Y136" i="83"/>
  <c r="Y223" i="83"/>
  <c r="Y97" i="71" s="1"/>
  <c r="Y202" i="71" s="1"/>
  <c r="O223" i="83"/>
  <c r="O97" i="71" s="1"/>
  <c r="O202" i="71" s="1"/>
  <c r="L223" i="83"/>
  <c r="L97" i="71" s="1"/>
  <c r="L202" i="71" s="1"/>
  <c r="T223" i="83"/>
  <c r="T97" i="71" s="1"/>
  <c r="T202" i="71" s="1"/>
  <c r="P194" i="83"/>
  <c r="P67" i="71" s="1"/>
  <c r="P172" i="71" s="1"/>
  <c r="O194" i="83"/>
  <c r="O67" i="71" s="1"/>
  <c r="O172" i="71" s="1"/>
  <c r="N194" i="83"/>
  <c r="N67" i="71" s="1"/>
  <c r="N172" i="71" s="1"/>
  <c r="K194" i="83"/>
  <c r="K67" i="71" s="1"/>
  <c r="K172" i="71" s="1"/>
  <c r="Q165" i="83"/>
  <c r="Q37" i="71" s="1"/>
  <c r="Q142" i="71" s="1"/>
  <c r="P165" i="83"/>
  <c r="P37" i="71" s="1"/>
  <c r="P142" i="71" s="1"/>
  <c r="O165" i="83"/>
  <c r="O37" i="71" s="1"/>
  <c r="O142" i="71" s="1"/>
  <c r="N165" i="83"/>
  <c r="N37" i="71" s="1"/>
  <c r="N142" i="71" s="1"/>
  <c r="P136" i="83"/>
  <c r="P138" i="72" s="1"/>
  <c r="P208" i="72" s="1"/>
  <c r="P238" i="72" s="1"/>
  <c r="O136" i="83"/>
  <c r="O138" i="72" s="1"/>
  <c r="O208" i="72" s="1"/>
  <c r="O238" i="72" s="1"/>
  <c r="N136" i="83"/>
  <c r="N138" i="72" s="1"/>
  <c r="N208" i="72" s="1"/>
  <c r="N238" i="72" s="1"/>
  <c r="K136" i="83"/>
  <c r="K138" i="72" s="1"/>
  <c r="K208" i="72" s="1"/>
  <c r="K238" i="72" s="1"/>
  <c r="U223" i="83"/>
  <c r="U97" i="71" s="1"/>
  <c r="U202" i="71" s="1"/>
  <c r="J194" i="83"/>
  <c r="J67" i="71" s="1"/>
  <c r="J172" i="71" s="1"/>
  <c r="K165" i="83"/>
  <c r="K37" i="71" s="1"/>
  <c r="K142" i="71" s="1"/>
  <c r="M165" i="83"/>
  <c r="M37" i="71" s="1"/>
  <c r="M142" i="71" s="1"/>
  <c r="J136" i="83"/>
  <c r="J138" i="72" s="1"/>
  <c r="J208" i="72" s="1"/>
  <c r="J238" i="72" s="1"/>
  <c r="L136" i="83"/>
  <c r="L138" i="72" s="1"/>
  <c r="L208" i="72" s="1"/>
  <c r="L238" i="72" s="1"/>
  <c r="M223" i="83"/>
  <c r="M97" i="71" s="1"/>
  <c r="M202" i="71" s="1"/>
  <c r="M194" i="83"/>
  <c r="M67" i="71" s="1"/>
  <c r="M172" i="71" s="1"/>
  <c r="X165" i="83"/>
  <c r="X37" i="71" s="1"/>
  <c r="X142" i="71" s="1"/>
  <c r="V165" i="83"/>
  <c r="V37" i="71" s="1"/>
  <c r="V142" i="71" s="1"/>
  <c r="W136" i="83"/>
  <c r="U136" i="83"/>
  <c r="S223" i="83"/>
  <c r="S97" i="71" s="1"/>
  <c r="S202" i="71" s="1"/>
  <c r="L194" i="83"/>
  <c r="L67" i="71" s="1"/>
  <c r="L172" i="71" s="1"/>
  <c r="J165" i="83"/>
  <c r="J37" i="71" s="1"/>
  <c r="J142" i="71" s="1"/>
  <c r="L165" i="83"/>
  <c r="L37" i="71" s="1"/>
  <c r="L142" i="71" s="1"/>
  <c r="M136" i="83"/>
  <c r="M138" i="72" s="1"/>
  <c r="M208" i="72" s="1"/>
  <c r="M238" i="72" s="1"/>
  <c r="Q136" i="83"/>
  <c r="Q138" i="72" s="1"/>
  <c r="Q208" i="72" s="1"/>
  <c r="Q238" i="72" s="1"/>
  <c r="J223" i="83"/>
  <c r="J97" i="71" s="1"/>
  <c r="J202" i="71" s="1"/>
  <c r="V136" i="83"/>
  <c r="U194" i="83"/>
  <c r="U67" i="71" s="1"/>
  <c r="U172" i="71" s="1"/>
  <c r="X136" i="83"/>
  <c r="W165" i="83"/>
  <c r="W37" i="71" s="1"/>
  <c r="W142" i="71" s="1"/>
  <c r="L224" i="83"/>
  <c r="L98" i="71" s="1"/>
  <c r="L203" i="71" s="1"/>
  <c r="K224" i="83"/>
  <c r="K98" i="71" s="1"/>
  <c r="K203" i="71" s="1"/>
  <c r="J224" i="83"/>
  <c r="J98" i="71" s="1"/>
  <c r="J203" i="71" s="1"/>
  <c r="X195" i="83"/>
  <c r="X68" i="71" s="1"/>
  <c r="X173" i="71" s="1"/>
  <c r="W195" i="83"/>
  <c r="W68" i="71" s="1"/>
  <c r="W173" i="71" s="1"/>
  <c r="V224" i="83"/>
  <c r="V98" i="71" s="1"/>
  <c r="V203" i="71" s="1"/>
  <c r="Y224" i="83"/>
  <c r="Y98" i="71" s="1"/>
  <c r="Y203" i="71" s="1"/>
  <c r="X224" i="83"/>
  <c r="X98" i="71" s="1"/>
  <c r="X203" i="71" s="1"/>
  <c r="S224" i="83"/>
  <c r="S98" i="71" s="1"/>
  <c r="S203" i="71" s="1"/>
  <c r="T195" i="83"/>
  <c r="T68" i="71" s="1"/>
  <c r="T173" i="71" s="1"/>
  <c r="U224" i="83"/>
  <c r="U98" i="71" s="1"/>
  <c r="U203" i="71" s="1"/>
  <c r="M224" i="83"/>
  <c r="M98" i="71" s="1"/>
  <c r="M203" i="71" s="1"/>
  <c r="S195" i="83"/>
  <c r="S68" i="71" s="1"/>
  <c r="S173" i="71" s="1"/>
  <c r="V195" i="83"/>
  <c r="V68" i="71" s="1"/>
  <c r="V173" i="71" s="1"/>
  <c r="Y195" i="83"/>
  <c r="Y68" i="71" s="1"/>
  <c r="Y173" i="71" s="1"/>
  <c r="Y166" i="83"/>
  <c r="Y38" i="71" s="1"/>
  <c r="Y143" i="71" s="1"/>
  <c r="X166" i="83"/>
  <c r="X38" i="71" s="1"/>
  <c r="X143" i="71" s="1"/>
  <c r="W166" i="83"/>
  <c r="W38" i="71" s="1"/>
  <c r="W143" i="71" s="1"/>
  <c r="V166" i="83"/>
  <c r="V38" i="71" s="1"/>
  <c r="V143" i="71" s="1"/>
  <c r="X137" i="83"/>
  <c r="W137" i="83"/>
  <c r="V137" i="83"/>
  <c r="U137" i="83"/>
  <c r="Q224" i="83"/>
  <c r="Q98" i="71" s="1"/>
  <c r="Q203" i="71" s="1"/>
  <c r="W224" i="83"/>
  <c r="W98" i="71" s="1"/>
  <c r="W203" i="71" s="1"/>
  <c r="O195" i="83"/>
  <c r="O68" i="71" s="1"/>
  <c r="O173" i="71" s="1"/>
  <c r="R195" i="83"/>
  <c r="R68" i="71" s="1"/>
  <c r="R173" i="71" s="1"/>
  <c r="Q195" i="83"/>
  <c r="Q68" i="71" s="1"/>
  <c r="Q173" i="71" s="1"/>
  <c r="U166" i="83"/>
  <c r="U38" i="71" s="1"/>
  <c r="U143" i="71" s="1"/>
  <c r="T166" i="83"/>
  <c r="T38" i="71" s="1"/>
  <c r="T143" i="71" s="1"/>
  <c r="S166" i="83"/>
  <c r="S38" i="71" s="1"/>
  <c r="S143" i="71" s="1"/>
  <c r="R166" i="83"/>
  <c r="R38" i="71" s="1"/>
  <c r="R143" i="71" s="1"/>
  <c r="T137" i="83"/>
  <c r="S137" i="83"/>
  <c r="R137" i="83"/>
  <c r="Y137" i="83"/>
  <c r="R224" i="83"/>
  <c r="R98" i="71" s="1"/>
  <c r="R203" i="71" s="1"/>
  <c r="T224" i="83"/>
  <c r="T98" i="71" s="1"/>
  <c r="T203" i="71" s="1"/>
  <c r="P195" i="83"/>
  <c r="P68" i="71" s="1"/>
  <c r="P173" i="71" s="1"/>
  <c r="M195" i="83"/>
  <c r="M68" i="71" s="1"/>
  <c r="M173" i="71" s="1"/>
  <c r="N195" i="83"/>
  <c r="N68" i="71" s="1"/>
  <c r="N173" i="71" s="1"/>
  <c r="K195" i="83"/>
  <c r="K68" i="71" s="1"/>
  <c r="K173" i="71" s="1"/>
  <c r="Q166" i="83"/>
  <c r="Q38" i="71" s="1"/>
  <c r="Q143" i="71" s="1"/>
  <c r="P166" i="83"/>
  <c r="P38" i="71" s="1"/>
  <c r="P143" i="71" s="1"/>
  <c r="O166" i="83"/>
  <c r="O38" i="71" s="1"/>
  <c r="O143" i="71" s="1"/>
  <c r="N166" i="83"/>
  <c r="N38" i="71" s="1"/>
  <c r="N143" i="71" s="1"/>
  <c r="P137" i="83"/>
  <c r="P139" i="72" s="1"/>
  <c r="P209" i="72" s="1"/>
  <c r="P239" i="72" s="1"/>
  <c r="O137" i="83"/>
  <c r="O139" i="72" s="1"/>
  <c r="O209" i="72" s="1"/>
  <c r="O239" i="72" s="1"/>
  <c r="N137" i="83"/>
  <c r="N139" i="72" s="1"/>
  <c r="N209" i="72" s="1"/>
  <c r="N239" i="72" s="1"/>
  <c r="Q137" i="83"/>
  <c r="Q139" i="72" s="1"/>
  <c r="Q209" i="72" s="1"/>
  <c r="Q239" i="72" s="1"/>
  <c r="J195" i="83"/>
  <c r="J68" i="71" s="1"/>
  <c r="J173" i="71" s="1"/>
  <c r="K166" i="83"/>
  <c r="K38" i="71" s="1"/>
  <c r="K143" i="71" s="1"/>
  <c r="J137" i="83"/>
  <c r="J139" i="72" s="1"/>
  <c r="J209" i="72" s="1"/>
  <c r="J239" i="72" s="1"/>
  <c r="O224" i="83"/>
  <c r="O98" i="71" s="1"/>
  <c r="O203" i="71" s="1"/>
  <c r="J166" i="83"/>
  <c r="J38" i="71" s="1"/>
  <c r="J143" i="71" s="1"/>
  <c r="M137" i="83"/>
  <c r="M139" i="72" s="1"/>
  <c r="M209" i="72" s="1"/>
  <c r="M239" i="72" s="1"/>
  <c r="N224" i="83"/>
  <c r="N98" i="71" s="1"/>
  <c r="N203" i="71" s="1"/>
  <c r="L195" i="83"/>
  <c r="L68" i="71" s="1"/>
  <c r="L173" i="71" s="1"/>
  <c r="M166" i="83"/>
  <c r="M38" i="71" s="1"/>
  <c r="M143" i="71" s="1"/>
  <c r="L137" i="83"/>
  <c r="L139" i="72" s="1"/>
  <c r="L209" i="72" s="1"/>
  <c r="L239" i="72" s="1"/>
  <c r="P224" i="83"/>
  <c r="P98" i="71" s="1"/>
  <c r="P203" i="71" s="1"/>
  <c r="U195" i="83"/>
  <c r="U68" i="71" s="1"/>
  <c r="U173" i="71" s="1"/>
  <c r="L166" i="83"/>
  <c r="L38" i="71" s="1"/>
  <c r="L143" i="71" s="1"/>
  <c r="K137" i="83"/>
  <c r="K139" i="72" s="1"/>
  <c r="K209" i="72" s="1"/>
  <c r="K239" i="72" s="1"/>
  <c r="L227" i="83"/>
  <c r="L101" i="71" s="1"/>
  <c r="L206" i="71" s="1"/>
  <c r="T227" i="83"/>
  <c r="T101" i="71" s="1"/>
  <c r="T206" i="71" s="1"/>
  <c r="Q227" i="83"/>
  <c r="Q101" i="71" s="1"/>
  <c r="Q206" i="71" s="1"/>
  <c r="Y227" i="83"/>
  <c r="Y101" i="71" s="1"/>
  <c r="Y206" i="71" s="1"/>
  <c r="M198" i="83"/>
  <c r="M71" i="71" s="1"/>
  <c r="M176" i="71" s="1"/>
  <c r="L198" i="83"/>
  <c r="L71" i="71" s="1"/>
  <c r="L176" i="71" s="1"/>
  <c r="K198" i="83"/>
  <c r="K71" i="71" s="1"/>
  <c r="K176" i="71" s="1"/>
  <c r="X198" i="83"/>
  <c r="X71" i="71" s="1"/>
  <c r="X176" i="71" s="1"/>
  <c r="M169" i="83"/>
  <c r="M41" i="71" s="1"/>
  <c r="M146" i="71" s="1"/>
  <c r="L169" i="83"/>
  <c r="L41" i="71" s="1"/>
  <c r="L146" i="71" s="1"/>
  <c r="T169" i="83"/>
  <c r="T41" i="71" s="1"/>
  <c r="T146" i="71" s="1"/>
  <c r="X169" i="83"/>
  <c r="X41" i="71" s="1"/>
  <c r="X146" i="71" s="1"/>
  <c r="J140" i="83"/>
  <c r="J142" i="72" s="1"/>
  <c r="J212" i="72" s="1"/>
  <c r="J242" i="72" s="1"/>
  <c r="M140" i="83"/>
  <c r="M142" i="72" s="1"/>
  <c r="M212" i="72" s="1"/>
  <c r="M242" i="72" s="1"/>
  <c r="L140" i="83"/>
  <c r="L142" i="72" s="1"/>
  <c r="L212" i="72" s="1"/>
  <c r="L242" i="72" s="1"/>
  <c r="Q140" i="83"/>
  <c r="Q142" i="72" s="1"/>
  <c r="Q212" i="72" s="1"/>
  <c r="Q242" i="72" s="1"/>
  <c r="V227" i="83"/>
  <c r="V101" i="71" s="1"/>
  <c r="V206" i="71" s="1"/>
  <c r="X227" i="83"/>
  <c r="X101" i="71" s="1"/>
  <c r="X206" i="71" s="1"/>
  <c r="S227" i="83"/>
  <c r="S101" i="71" s="1"/>
  <c r="S206" i="71" s="1"/>
  <c r="O227" i="83"/>
  <c r="O101" i="71" s="1"/>
  <c r="O206" i="71" s="1"/>
  <c r="W198" i="83"/>
  <c r="W71" i="71" s="1"/>
  <c r="W176" i="71" s="1"/>
  <c r="V198" i="83"/>
  <c r="V71" i="71" s="1"/>
  <c r="V176" i="71" s="1"/>
  <c r="Y198" i="83"/>
  <c r="Y71" i="71" s="1"/>
  <c r="Y176" i="71" s="1"/>
  <c r="J198" i="83"/>
  <c r="J71" i="71" s="1"/>
  <c r="J176" i="71" s="1"/>
  <c r="W169" i="83"/>
  <c r="W41" i="71" s="1"/>
  <c r="W146" i="71" s="1"/>
  <c r="V169" i="83"/>
  <c r="V41" i="71" s="1"/>
  <c r="V146" i="71" s="1"/>
  <c r="U169" i="83"/>
  <c r="U41" i="71" s="1"/>
  <c r="U146" i="71" s="1"/>
  <c r="P169" i="83"/>
  <c r="P41" i="71" s="1"/>
  <c r="P146" i="71" s="1"/>
  <c r="X140" i="83"/>
  <c r="W140" i="83"/>
  <c r="V140" i="83"/>
  <c r="U140" i="83"/>
  <c r="W227" i="83"/>
  <c r="W101" i="71" s="1"/>
  <c r="W206" i="71" s="1"/>
  <c r="K227" i="83"/>
  <c r="K101" i="71" s="1"/>
  <c r="K206" i="71" s="1"/>
  <c r="R198" i="83"/>
  <c r="R71" i="71" s="1"/>
  <c r="R176" i="71" s="1"/>
  <c r="T198" i="83"/>
  <c r="T71" i="71" s="1"/>
  <c r="T176" i="71" s="1"/>
  <c r="R169" i="83"/>
  <c r="R41" i="71" s="1"/>
  <c r="R146" i="71" s="1"/>
  <c r="J169" i="83"/>
  <c r="J41" i="71" s="1"/>
  <c r="J146" i="71" s="1"/>
  <c r="S140" i="83"/>
  <c r="Y140" i="83"/>
  <c r="U227" i="83"/>
  <c r="U101" i="71" s="1"/>
  <c r="U206" i="71" s="1"/>
  <c r="J227" i="83"/>
  <c r="J101" i="71" s="1"/>
  <c r="J206" i="71" s="1"/>
  <c r="N198" i="83"/>
  <c r="N71" i="71" s="1"/>
  <c r="N176" i="71" s="1"/>
  <c r="P198" i="83"/>
  <c r="P71" i="71" s="1"/>
  <c r="P176" i="71" s="1"/>
  <c r="N169" i="83"/>
  <c r="N41" i="71" s="1"/>
  <c r="N146" i="71" s="1"/>
  <c r="Y169" i="83"/>
  <c r="Y41" i="71" s="1"/>
  <c r="Y146" i="71" s="1"/>
  <c r="O140" i="83"/>
  <c r="O142" i="72" s="1"/>
  <c r="O212" i="72" s="1"/>
  <c r="O242" i="72" s="1"/>
  <c r="K140" i="83"/>
  <c r="K142" i="72" s="1"/>
  <c r="K212" i="72" s="1"/>
  <c r="K242" i="72" s="1"/>
  <c r="R227" i="83"/>
  <c r="R101" i="71" s="1"/>
  <c r="R206" i="71" s="1"/>
  <c r="P227" i="83"/>
  <c r="P101" i="71" s="1"/>
  <c r="P206" i="71" s="1"/>
  <c r="S198" i="83"/>
  <c r="S71" i="71" s="1"/>
  <c r="S176" i="71" s="1"/>
  <c r="U198" i="83"/>
  <c r="U71" i="71" s="1"/>
  <c r="U176" i="71" s="1"/>
  <c r="S169" i="83"/>
  <c r="S41" i="71" s="1"/>
  <c r="S146" i="71" s="1"/>
  <c r="Q169" i="83"/>
  <c r="Q41" i="71" s="1"/>
  <c r="Q146" i="71" s="1"/>
  <c r="T140" i="83"/>
  <c r="R140" i="83"/>
  <c r="O198" i="83"/>
  <c r="O71" i="71" s="1"/>
  <c r="O176" i="71" s="1"/>
  <c r="P140" i="83"/>
  <c r="P142" i="72" s="1"/>
  <c r="P212" i="72" s="1"/>
  <c r="P242" i="72" s="1"/>
  <c r="Q198" i="83"/>
  <c r="Q71" i="71" s="1"/>
  <c r="Q176" i="71" s="1"/>
  <c r="N140" i="83"/>
  <c r="N142" i="72" s="1"/>
  <c r="N212" i="72" s="1"/>
  <c r="N242" i="72" s="1"/>
  <c r="N227" i="83"/>
  <c r="N101" i="71" s="1"/>
  <c r="N206" i="71" s="1"/>
  <c r="O169" i="83"/>
  <c r="O41" i="71" s="1"/>
  <c r="O146" i="71" s="1"/>
  <c r="K169" i="83"/>
  <c r="K41" i="71" s="1"/>
  <c r="K146" i="71" s="1"/>
  <c r="M227" i="83"/>
  <c r="M101" i="71" s="1"/>
  <c r="M206" i="71" s="1"/>
  <c r="N155" i="73"/>
  <c r="L185" i="73"/>
  <c r="L245" i="73" s="1"/>
  <c r="L155" i="73"/>
  <c r="J155" i="73"/>
  <c r="Q155" i="73"/>
  <c r="O185" i="73"/>
  <c r="O245" i="73" s="1"/>
  <c r="K185" i="73"/>
  <c r="K245" i="73" s="1"/>
  <c r="K155" i="73"/>
  <c r="M185" i="73"/>
  <c r="M245" i="73" s="1"/>
  <c r="O155" i="73"/>
  <c r="Q185" i="73"/>
  <c r="Q245" i="73" s="1"/>
  <c r="N185" i="73"/>
  <c r="N245" i="73" s="1"/>
  <c r="J185" i="73"/>
  <c r="J245" i="73" s="1"/>
  <c r="M155" i="73"/>
  <c r="P155" i="73"/>
  <c r="P185" i="73"/>
  <c r="P245" i="73" s="1"/>
  <c r="J154" i="73"/>
  <c r="L184" i="73"/>
  <c r="L244" i="73" s="1"/>
  <c r="P184" i="73"/>
  <c r="P244" i="73" s="1"/>
  <c r="K154" i="73"/>
  <c r="K184" i="73"/>
  <c r="K244" i="73" s="1"/>
  <c r="P154" i="73"/>
  <c r="O154" i="73"/>
  <c r="M154" i="73"/>
  <c r="N154" i="73"/>
  <c r="L154" i="73"/>
  <c r="M184" i="73"/>
  <c r="M244" i="73" s="1"/>
  <c r="O184" i="73"/>
  <c r="O244" i="73" s="1"/>
  <c r="Q154" i="73"/>
  <c r="Q184" i="73"/>
  <c r="Q244" i="73" s="1"/>
  <c r="N184" i="73"/>
  <c r="N244" i="73" s="1"/>
  <c r="J184" i="73"/>
  <c r="J244" i="73" s="1"/>
  <c r="Q183" i="73"/>
  <c r="Q243" i="73" s="1"/>
  <c r="J153" i="73"/>
  <c r="L183" i="73"/>
  <c r="L243" i="73" s="1"/>
  <c r="M153" i="73"/>
  <c r="Q153" i="73"/>
  <c r="K153" i="73"/>
  <c r="J183" i="73"/>
  <c r="J243" i="73" s="1"/>
  <c r="K183" i="73"/>
  <c r="K243" i="73" s="1"/>
  <c r="O183" i="73"/>
  <c r="O243" i="73" s="1"/>
  <c r="P183" i="73"/>
  <c r="P243" i="73" s="1"/>
  <c r="O153" i="73"/>
  <c r="M183" i="73"/>
  <c r="M243" i="73" s="1"/>
  <c r="P153" i="73"/>
  <c r="N153" i="73"/>
  <c r="L153" i="73"/>
  <c r="N183" i="73"/>
  <c r="N243" i="73" s="1"/>
  <c r="S97" i="105"/>
  <c r="S101" i="105" s="1"/>
  <c r="H237" i="83" l="1" a="1"/>
  <c r="H237" i="83" s="1"/>
  <c r="L75" i="71"/>
  <c r="L180" i="71" s="1"/>
  <c r="L250" i="72"/>
  <c r="R218" i="71"/>
  <c r="K257" i="73"/>
  <c r="Y250" i="72"/>
  <c r="M36" i="71"/>
  <c r="M141" i="71" s="1"/>
  <c r="M217" i="71" s="1"/>
  <c r="M239" i="83"/>
  <c r="O276" i="73"/>
  <c r="O39" i="74" s="1"/>
  <c r="O84" i="74" s="1"/>
  <c r="O206" i="73"/>
  <c r="L276" i="73"/>
  <c r="L39" i="74" s="1"/>
  <c r="L84" i="74" s="1"/>
  <c r="L206" i="73"/>
  <c r="J257" i="73"/>
  <c r="N207" i="73"/>
  <c r="N277" i="73"/>
  <c r="N40" i="74" s="1"/>
  <c r="N85" i="74" s="1"/>
  <c r="Q207" i="73"/>
  <c r="Q277" i="73"/>
  <c r="Q40" i="74" s="1"/>
  <c r="Q85" i="74" s="1"/>
  <c r="M279" i="73"/>
  <c r="M42" i="74" s="1"/>
  <c r="M87" i="74" s="1"/>
  <c r="M209" i="73"/>
  <c r="J279" i="73"/>
  <c r="J42" i="74" s="1"/>
  <c r="J87" i="74" s="1"/>
  <c r="J209" i="73"/>
  <c r="N210" i="73"/>
  <c r="N280" i="73"/>
  <c r="N43" i="74" s="1"/>
  <c r="N88" i="74" s="1"/>
  <c r="J280" i="73"/>
  <c r="J43" i="74" s="1"/>
  <c r="J88" i="74" s="1"/>
  <c r="J210" i="73"/>
  <c r="P213" i="73"/>
  <c r="P283" i="73"/>
  <c r="P46" i="74" s="1"/>
  <c r="P91" i="74" s="1"/>
  <c r="Q283" i="73"/>
  <c r="Q46" i="74" s="1"/>
  <c r="Q91" i="74" s="1"/>
  <c r="Q213" i="73"/>
  <c r="Q214" i="73"/>
  <c r="Q284" i="73"/>
  <c r="Q47" i="74" s="1"/>
  <c r="Q92" i="74" s="1"/>
  <c r="N214" i="73"/>
  <c r="N284" i="73"/>
  <c r="N47" i="74" s="1"/>
  <c r="N92" i="74" s="1"/>
  <c r="J284" i="73"/>
  <c r="J47" i="74" s="1"/>
  <c r="J92" i="74" s="1"/>
  <c r="J214" i="73"/>
  <c r="Q285" i="73"/>
  <c r="Q48" i="74" s="1"/>
  <c r="Q93" i="74" s="1"/>
  <c r="Q215" i="73"/>
  <c r="N285" i="73"/>
  <c r="N48" i="74" s="1"/>
  <c r="N93" i="74" s="1"/>
  <c r="N215" i="73"/>
  <c r="W250" i="72"/>
  <c r="O212" i="73"/>
  <c r="O282" i="73"/>
  <c r="O45" i="74" s="1"/>
  <c r="O90" i="74" s="1"/>
  <c r="Q282" i="73"/>
  <c r="Q45" i="74" s="1"/>
  <c r="Q90" i="74" s="1"/>
  <c r="Q212" i="73"/>
  <c r="J276" i="73"/>
  <c r="J39" i="74" s="1"/>
  <c r="J84" i="74" s="1"/>
  <c r="J206" i="73"/>
  <c r="O257" i="73"/>
  <c r="K207" i="73"/>
  <c r="K277" i="73"/>
  <c r="K40" i="74" s="1"/>
  <c r="K85" i="74" s="1"/>
  <c r="L207" i="73"/>
  <c r="L277" i="73"/>
  <c r="L40" i="74" s="1"/>
  <c r="L85" i="74" s="1"/>
  <c r="M207" i="73"/>
  <c r="M277" i="73"/>
  <c r="M40" i="74" s="1"/>
  <c r="M85" i="74" s="1"/>
  <c r="Q280" i="73"/>
  <c r="Q43" i="74" s="1"/>
  <c r="Q88" i="74" s="1"/>
  <c r="Q210" i="73"/>
  <c r="L66" i="71"/>
  <c r="L171" i="71" s="1"/>
  <c r="P36" i="71"/>
  <c r="P141" i="71" s="1"/>
  <c r="P217" i="71" s="1"/>
  <c r="P239" i="83"/>
  <c r="Q219" i="71"/>
  <c r="Y219" i="71"/>
  <c r="Y218" i="71"/>
  <c r="S218" i="71"/>
  <c r="O211" i="73"/>
  <c r="O281" i="73"/>
  <c r="O44" i="74" s="1"/>
  <c r="O89" i="74" s="1"/>
  <c r="L283" i="73"/>
  <c r="L46" i="74" s="1"/>
  <c r="L91" i="74" s="1"/>
  <c r="L213" i="73"/>
  <c r="O283" i="73"/>
  <c r="O46" i="74" s="1"/>
  <c r="O91" i="74" s="1"/>
  <c r="O213" i="73"/>
  <c r="O284" i="73"/>
  <c r="O47" i="74" s="1"/>
  <c r="O92" i="74" s="1"/>
  <c r="O214" i="73"/>
  <c r="P285" i="73"/>
  <c r="P48" i="74" s="1"/>
  <c r="P93" i="74" s="1"/>
  <c r="P215" i="73"/>
  <c r="L215" i="73"/>
  <c r="L285" i="73"/>
  <c r="L48" i="74" s="1"/>
  <c r="L93" i="74" s="1"/>
  <c r="T250" i="72"/>
  <c r="X250" i="72"/>
  <c r="M212" i="73"/>
  <c r="M282" i="73"/>
  <c r="M45" i="74" s="1"/>
  <c r="M90" i="74" s="1"/>
  <c r="J212" i="73"/>
  <c r="J282" i="73"/>
  <c r="J45" i="74" s="1"/>
  <c r="J90" i="74" s="1"/>
  <c r="L257" i="73"/>
  <c r="Q257" i="73"/>
  <c r="M257" i="73"/>
  <c r="Q276" i="73"/>
  <c r="Q39" i="74" s="1"/>
  <c r="Q84" i="74" s="1"/>
  <c r="Q206" i="73"/>
  <c r="Q279" i="73"/>
  <c r="Q42" i="74" s="1"/>
  <c r="Q87" i="74" s="1"/>
  <c r="Q209" i="73"/>
  <c r="O279" i="73"/>
  <c r="O42" i="74" s="1"/>
  <c r="O87" i="74" s="1"/>
  <c r="O209" i="73"/>
  <c r="L209" i="73"/>
  <c r="L279" i="73"/>
  <c r="L42" i="74" s="1"/>
  <c r="L87" i="74" s="1"/>
  <c r="P280" i="73"/>
  <c r="P43" i="74" s="1"/>
  <c r="P88" i="74" s="1"/>
  <c r="P210" i="73"/>
  <c r="K280" i="73"/>
  <c r="K43" i="74" s="1"/>
  <c r="K88" i="74" s="1"/>
  <c r="K210" i="73"/>
  <c r="M210" i="73"/>
  <c r="M280" i="73"/>
  <c r="M43" i="74" s="1"/>
  <c r="M88" i="74" s="1"/>
  <c r="N219" i="71"/>
  <c r="W219" i="71"/>
  <c r="X218" i="71"/>
  <c r="L239" i="83"/>
  <c r="L36" i="71"/>
  <c r="L141" i="71" s="1"/>
  <c r="L217" i="71" s="1"/>
  <c r="N218" i="71"/>
  <c r="V219" i="71"/>
  <c r="N36" i="71"/>
  <c r="N141" i="71" s="1"/>
  <c r="N217" i="71" s="1"/>
  <c r="N239" i="83"/>
  <c r="V218" i="71"/>
  <c r="M96" i="71"/>
  <c r="M201" i="71" s="1"/>
  <c r="M219" i="71" s="1"/>
  <c r="V239" i="83"/>
  <c r="V36" i="71"/>
  <c r="V141" i="71" s="1"/>
  <c r="V217" i="71" s="1"/>
  <c r="M66" i="71"/>
  <c r="M171" i="71" s="1"/>
  <c r="M218" i="71" s="1"/>
  <c r="O219" i="71"/>
  <c r="U36" i="71"/>
  <c r="U141" i="71" s="1"/>
  <c r="U217" i="71" s="1"/>
  <c r="U239" i="83"/>
  <c r="T218" i="71"/>
  <c r="S219" i="71"/>
  <c r="J281" i="73"/>
  <c r="J44" i="74" s="1"/>
  <c r="J89" i="74" s="1"/>
  <c r="J211" i="73"/>
  <c r="K211" i="73"/>
  <c r="K281" i="73"/>
  <c r="K44" i="74" s="1"/>
  <c r="K89" i="74" s="1"/>
  <c r="Q211" i="73"/>
  <c r="Q281" i="73"/>
  <c r="Q44" i="74" s="1"/>
  <c r="Q89" i="74" s="1"/>
  <c r="J208" i="73"/>
  <c r="J278" i="73"/>
  <c r="J41" i="74" s="1"/>
  <c r="J86" i="74" s="1"/>
  <c r="Q208" i="73"/>
  <c r="Q278" i="73"/>
  <c r="Q41" i="74" s="1"/>
  <c r="Q86" i="74" s="1"/>
  <c r="O278" i="73"/>
  <c r="O41" i="74" s="1"/>
  <c r="O86" i="74" s="1"/>
  <c r="O208" i="73"/>
  <c r="N250" i="72"/>
  <c r="X36" i="71"/>
  <c r="X141" i="71" s="1"/>
  <c r="X217" i="71" s="1"/>
  <c r="X239" i="83"/>
  <c r="J96" i="71"/>
  <c r="J201" i="71" s="1"/>
  <c r="J219" i="71" s="1"/>
  <c r="K36" i="71"/>
  <c r="K141" i="71" s="1"/>
  <c r="K217" i="71" s="1"/>
  <c r="K239" i="83"/>
  <c r="X219" i="71"/>
  <c r="M250" i="72"/>
  <c r="Q239" i="83"/>
  <c r="Q36" i="71"/>
  <c r="Q141" i="71" s="1"/>
  <c r="Q217" i="71" s="1"/>
  <c r="T219" i="71"/>
  <c r="S36" i="71"/>
  <c r="S141" i="71" s="1"/>
  <c r="S217" i="71" s="1"/>
  <c r="S239" i="83"/>
  <c r="U219" i="71"/>
  <c r="M211" i="73"/>
  <c r="M281" i="73"/>
  <c r="M44" i="74" s="1"/>
  <c r="M89" i="74" s="1"/>
  <c r="K208" i="73"/>
  <c r="K278" i="73"/>
  <c r="K41" i="74" s="1"/>
  <c r="K86" i="74" s="1"/>
  <c r="N208" i="73"/>
  <c r="N278" i="73"/>
  <c r="N41" i="74" s="1"/>
  <c r="N86" i="74" s="1"/>
  <c r="M283" i="73"/>
  <c r="M46" i="74" s="1"/>
  <c r="M91" i="74" s="1"/>
  <c r="M213" i="73"/>
  <c r="M284" i="73"/>
  <c r="M47" i="74" s="1"/>
  <c r="M92" i="74" s="1"/>
  <c r="M214" i="73"/>
  <c r="K284" i="73"/>
  <c r="K47" i="74" s="1"/>
  <c r="K92" i="74" s="1"/>
  <c r="K214" i="73"/>
  <c r="K285" i="73"/>
  <c r="K48" i="74" s="1"/>
  <c r="K93" i="74" s="1"/>
  <c r="K215" i="73"/>
  <c r="J285" i="73"/>
  <c r="J48" i="74" s="1"/>
  <c r="J93" i="74" s="1"/>
  <c r="J215" i="73"/>
  <c r="S250" i="72"/>
  <c r="U250" i="72"/>
  <c r="N282" i="73"/>
  <c r="N45" i="74" s="1"/>
  <c r="N90" i="74" s="1"/>
  <c r="N212" i="73"/>
  <c r="M276" i="73"/>
  <c r="M39" i="74" s="1"/>
  <c r="M84" i="74" s="1"/>
  <c r="M206" i="73"/>
  <c r="P257" i="73"/>
  <c r="P277" i="73"/>
  <c r="P40" i="74" s="1"/>
  <c r="P85" i="74" s="1"/>
  <c r="P207" i="73"/>
  <c r="P209" i="73"/>
  <c r="P279" i="73"/>
  <c r="P42" i="74" s="1"/>
  <c r="P87" i="74" s="1"/>
  <c r="O218" i="71"/>
  <c r="U218" i="71"/>
  <c r="J250" i="72"/>
  <c r="K66" i="71"/>
  <c r="K171" i="71" s="1"/>
  <c r="K218" i="71" s="1"/>
  <c r="P250" i="72"/>
  <c r="L96" i="71"/>
  <c r="L201" i="71" s="1"/>
  <c r="L219" i="71" s="1"/>
  <c r="T36" i="71"/>
  <c r="T141" i="71" s="1"/>
  <c r="T217" i="71" s="1"/>
  <c r="T239" i="83"/>
  <c r="R219" i="71"/>
  <c r="L211" i="73"/>
  <c r="L281" i="73"/>
  <c r="L44" i="74" s="1"/>
  <c r="L89" i="74" s="1"/>
  <c r="P208" i="73"/>
  <c r="P278" i="73"/>
  <c r="P41" i="74" s="1"/>
  <c r="P86" i="74" s="1"/>
  <c r="N283" i="73"/>
  <c r="N46" i="74" s="1"/>
  <c r="N91" i="74" s="1"/>
  <c r="N213" i="73"/>
  <c r="K213" i="73"/>
  <c r="K283" i="73"/>
  <c r="K46" i="74" s="1"/>
  <c r="K91" i="74" s="1"/>
  <c r="J283" i="73"/>
  <c r="J46" i="74" s="1"/>
  <c r="J91" i="74" s="1"/>
  <c r="J213" i="73"/>
  <c r="L284" i="73"/>
  <c r="L47" i="74" s="1"/>
  <c r="L92" i="74" s="1"/>
  <c r="L214" i="73"/>
  <c r="P214" i="73"/>
  <c r="P284" i="73"/>
  <c r="P47" i="74" s="1"/>
  <c r="P92" i="74" s="1"/>
  <c r="M215" i="73"/>
  <c r="M285" i="73"/>
  <c r="M48" i="74" s="1"/>
  <c r="M93" i="74" s="1"/>
  <c r="O285" i="73"/>
  <c r="O48" i="74" s="1"/>
  <c r="O93" i="74" s="1"/>
  <c r="O215" i="73"/>
  <c r="R250" i="72"/>
  <c r="V250" i="72"/>
  <c r="P282" i="73"/>
  <c r="P45" i="74" s="1"/>
  <c r="P90" i="74" s="1"/>
  <c r="P212" i="73"/>
  <c r="L282" i="73"/>
  <c r="L45" i="74" s="1"/>
  <c r="L90" i="74" s="1"/>
  <c r="L212" i="73"/>
  <c r="K282" i="73"/>
  <c r="K45" i="74" s="1"/>
  <c r="K90" i="74" s="1"/>
  <c r="K212" i="73"/>
  <c r="N206" i="73"/>
  <c r="N276" i="73"/>
  <c r="N39" i="74" s="1"/>
  <c r="N84" i="74" s="1"/>
  <c r="N257" i="73"/>
  <c r="P276" i="73"/>
  <c r="P39" i="74" s="1"/>
  <c r="P84" i="74" s="1"/>
  <c r="P206" i="73"/>
  <c r="K276" i="73"/>
  <c r="K39" i="74" s="1"/>
  <c r="K84" i="74" s="1"/>
  <c r="K206" i="73"/>
  <c r="J277" i="73"/>
  <c r="J40" i="74" s="1"/>
  <c r="J85" i="74" s="1"/>
  <c r="J207" i="73"/>
  <c r="O207" i="73"/>
  <c r="O277" i="73"/>
  <c r="O40" i="74" s="1"/>
  <c r="O85" i="74" s="1"/>
  <c r="N279" i="73"/>
  <c r="N42" i="74" s="1"/>
  <c r="N87" i="74" s="1"/>
  <c r="N209" i="73"/>
  <c r="K209" i="73"/>
  <c r="K279" i="73"/>
  <c r="K42" i="74" s="1"/>
  <c r="K87" i="74" s="1"/>
  <c r="L210" i="73"/>
  <c r="L280" i="73"/>
  <c r="L43" i="74" s="1"/>
  <c r="L88" i="74" s="1"/>
  <c r="O280" i="73"/>
  <c r="O43" i="74" s="1"/>
  <c r="O88" i="74" s="1"/>
  <c r="O210" i="73"/>
  <c r="K96" i="71"/>
  <c r="K201" i="71" s="1"/>
  <c r="K219" i="71" s="1"/>
  <c r="Y36" i="71"/>
  <c r="Y141" i="71" s="1"/>
  <c r="Y217" i="71" s="1"/>
  <c r="Y239" i="83"/>
  <c r="O250" i="72"/>
  <c r="K250" i="72"/>
  <c r="O36" i="71"/>
  <c r="O141" i="71" s="1"/>
  <c r="O217" i="71" s="1"/>
  <c r="O239" i="83"/>
  <c r="W218" i="71"/>
  <c r="Q250" i="72"/>
  <c r="W239" i="83"/>
  <c r="W36" i="71"/>
  <c r="W141" i="71" s="1"/>
  <c r="W217" i="71" s="1"/>
  <c r="J66" i="71"/>
  <c r="J171" i="71" s="1"/>
  <c r="J218" i="71" s="1"/>
  <c r="J36" i="71"/>
  <c r="J239" i="83"/>
  <c r="P218" i="71"/>
  <c r="R36" i="71"/>
  <c r="R141" i="71" s="1"/>
  <c r="R217" i="71" s="1"/>
  <c r="R239" i="83"/>
  <c r="Q218" i="71"/>
  <c r="P219" i="71"/>
  <c r="P281" i="73"/>
  <c r="P44" i="74" s="1"/>
  <c r="P89" i="74" s="1"/>
  <c r="P211" i="73"/>
  <c r="N281" i="73"/>
  <c r="N44" i="74" s="1"/>
  <c r="N89" i="74" s="1"/>
  <c r="N211" i="73"/>
  <c r="L208" i="73"/>
  <c r="L278" i="73"/>
  <c r="L41" i="74" s="1"/>
  <c r="L86" i="74" s="1"/>
  <c r="M208" i="73"/>
  <c r="M278" i="73"/>
  <c r="M41" i="74" s="1"/>
  <c r="M86" i="74" s="1"/>
  <c r="L218" i="71" l="1"/>
  <c r="L21" i="41" s="1"/>
  <c r="L21" i="65" s="1"/>
  <c r="Q25" i="41"/>
  <c r="S21" i="41"/>
  <c r="O25" i="41"/>
  <c r="M20" i="41"/>
  <c r="M74" i="41" s="1"/>
  <c r="M102" i="41" s="1"/>
  <c r="R21" i="41"/>
  <c r="P22" i="41"/>
  <c r="P53" i="41" s="1"/>
  <c r="P21" i="41"/>
  <c r="Q26" i="41"/>
  <c r="K26" i="41"/>
  <c r="R26" i="41"/>
  <c r="R26" i="65" s="1"/>
  <c r="R96" i="65" s="1"/>
  <c r="P26" i="41"/>
  <c r="U21" i="41"/>
  <c r="U75" i="41" s="1"/>
  <c r="AK102" i="41" s="1"/>
  <c r="S26" i="41"/>
  <c r="Q20" i="41"/>
  <c r="Q20" i="65" s="1"/>
  <c r="J22" i="41"/>
  <c r="S22" i="41"/>
  <c r="O22" i="41"/>
  <c r="L20" i="41"/>
  <c r="L51" i="41" s="1"/>
  <c r="W22" i="41"/>
  <c r="X26" i="41"/>
  <c r="X57" i="41" s="1"/>
  <c r="Y22" i="41"/>
  <c r="Y26" i="41"/>
  <c r="Q21" i="41"/>
  <c r="Q21" i="65" s="1"/>
  <c r="J21" i="41"/>
  <c r="W21" i="41"/>
  <c r="W21" i="65" s="1"/>
  <c r="W91" i="65" s="1"/>
  <c r="W102" i="65" s="1"/>
  <c r="O26" i="41"/>
  <c r="K22" i="41"/>
  <c r="K53" i="41" s="1"/>
  <c r="T20" i="41"/>
  <c r="K21" i="41"/>
  <c r="K52" i="41" s="1"/>
  <c r="O21" i="41"/>
  <c r="U22" i="41"/>
  <c r="U22" i="65" s="1"/>
  <c r="U92" i="65" s="1"/>
  <c r="U103" i="65" s="1"/>
  <c r="T21" i="41"/>
  <c r="N20" i="41"/>
  <c r="N51" i="41" s="1"/>
  <c r="N22" i="41"/>
  <c r="M25" i="41"/>
  <c r="M25" i="65" s="1"/>
  <c r="M95" i="65" s="1"/>
  <c r="T26" i="41"/>
  <c r="Q22" i="41"/>
  <c r="Q22" i="65" s="1"/>
  <c r="W26" i="41"/>
  <c r="K25" i="41"/>
  <c r="W20" i="41"/>
  <c r="N25" i="41"/>
  <c r="N56" i="41" s="1"/>
  <c r="P25" i="41"/>
  <c r="S20" i="41"/>
  <c r="M26" i="41"/>
  <c r="M26" i="65" s="1"/>
  <c r="M96" i="65" s="1"/>
  <c r="K20" i="41"/>
  <c r="K74" i="41" s="1"/>
  <c r="K102" i="41" s="1"/>
  <c r="X20" i="41"/>
  <c r="M21" i="41"/>
  <c r="M21" i="65" s="1"/>
  <c r="M22" i="41"/>
  <c r="V22" i="41"/>
  <c r="R20" i="41"/>
  <c r="O20" i="41"/>
  <c r="O20" i="65" s="1"/>
  <c r="Y20" i="41"/>
  <c r="V26" i="41"/>
  <c r="R22" i="41"/>
  <c r="L22" i="41"/>
  <c r="L76" i="41" s="1"/>
  <c r="AR102" i="41" s="1"/>
  <c r="J26" i="41"/>
  <c r="U26" i="41"/>
  <c r="U26" i="65" s="1"/>
  <c r="U96" i="65" s="1"/>
  <c r="U107" i="65" s="1"/>
  <c r="T22" i="41"/>
  <c r="X22" i="41"/>
  <c r="X76" i="41" s="1"/>
  <c r="BD102" i="41" s="1"/>
  <c r="N26" i="41"/>
  <c r="U20" i="41"/>
  <c r="U20" i="65" s="1"/>
  <c r="U90" i="65" s="1"/>
  <c r="U101" i="65" s="1"/>
  <c r="V20" i="41"/>
  <c r="V21" i="41"/>
  <c r="N21" i="41"/>
  <c r="X21" i="41"/>
  <c r="X75" i="41" s="1"/>
  <c r="AN102" i="41" s="1"/>
  <c r="L25" i="41"/>
  <c r="Y21" i="41"/>
  <c r="P20" i="41"/>
  <c r="J25" i="41"/>
  <c r="J25" i="65" s="1"/>
  <c r="J95" i="65" s="1"/>
  <c r="L26" i="41"/>
  <c r="M256" i="73"/>
  <c r="H254" i="72" a="1"/>
  <c r="H254" i="72" s="1"/>
  <c r="A4" i="72" s="1"/>
  <c r="J141" i="71"/>
  <c r="J217" i="71" s="1"/>
  <c r="S114" i="74"/>
  <c r="S146" i="74" s="1"/>
  <c r="Y114" i="74"/>
  <c r="Y146" i="74" s="1"/>
  <c r="T114" i="74"/>
  <c r="T146" i="74" s="1"/>
  <c r="P114" i="74"/>
  <c r="P146" i="74" s="1"/>
  <c r="W114" i="74"/>
  <c r="W146" i="74" s="1"/>
  <c r="M114" i="74"/>
  <c r="M146" i="74" s="1"/>
  <c r="K114" i="74"/>
  <c r="K146" i="74" s="1"/>
  <c r="R114" i="74"/>
  <c r="R146" i="74" s="1"/>
  <c r="X114" i="74"/>
  <c r="X146" i="74" s="1"/>
  <c r="Q114" i="74"/>
  <c r="Q146" i="74" s="1"/>
  <c r="N114" i="74"/>
  <c r="N146" i="74" s="1"/>
  <c r="O114" i="74"/>
  <c r="O146" i="74" s="1"/>
  <c r="U114" i="74"/>
  <c r="U146" i="74" s="1"/>
  <c r="V114" i="74"/>
  <c r="V146" i="74" s="1"/>
  <c r="U121" i="74"/>
  <c r="U153" i="74" s="1"/>
  <c r="S121" i="74"/>
  <c r="S153" i="74" s="1"/>
  <c r="O121" i="74"/>
  <c r="O153" i="74" s="1"/>
  <c r="P121" i="74"/>
  <c r="P153" i="74" s="1"/>
  <c r="Q121" i="74"/>
  <c r="Q153" i="74" s="1"/>
  <c r="N121" i="74"/>
  <c r="N153" i="74" s="1"/>
  <c r="Y121" i="74"/>
  <c r="Y153" i="74" s="1"/>
  <c r="T121" i="74"/>
  <c r="T153" i="74" s="1"/>
  <c r="R121" i="74"/>
  <c r="R153" i="74" s="1"/>
  <c r="V121" i="74"/>
  <c r="V153" i="74" s="1"/>
  <c r="X121" i="74"/>
  <c r="X153" i="74" s="1"/>
  <c r="W121" i="74"/>
  <c r="W153" i="74" s="1"/>
  <c r="M121" i="74"/>
  <c r="M153" i="74" s="1"/>
  <c r="K121" i="74"/>
  <c r="K153" i="74" s="1"/>
  <c r="H239" i="83"/>
  <c r="H241" i="83" s="1"/>
  <c r="J115" i="74"/>
  <c r="J147" i="74" s="1"/>
  <c r="L115" i="74"/>
  <c r="L147" i="74" s="1"/>
  <c r="U116" i="74"/>
  <c r="U148" i="74" s="1"/>
  <c r="W116" i="74"/>
  <c r="W148" i="74" s="1"/>
  <c r="T116" i="74"/>
  <c r="T148" i="74" s="1"/>
  <c r="X116" i="74"/>
  <c r="X148" i="74" s="1"/>
  <c r="O116" i="74"/>
  <c r="O148" i="74" s="1"/>
  <c r="P116" i="74"/>
  <c r="P148" i="74" s="1"/>
  <c r="N116" i="74"/>
  <c r="N148" i="74" s="1"/>
  <c r="Q116" i="74"/>
  <c r="Q148" i="74" s="1"/>
  <c r="R116" i="74"/>
  <c r="R148" i="74" s="1"/>
  <c r="S116" i="74"/>
  <c r="S148" i="74" s="1"/>
  <c r="K116" i="74"/>
  <c r="K148" i="74" s="1"/>
  <c r="V116" i="74"/>
  <c r="V148" i="74" s="1"/>
  <c r="Y116" i="74"/>
  <c r="Y148" i="74" s="1"/>
  <c r="M116" i="74"/>
  <c r="M148" i="74" s="1"/>
  <c r="J116" i="74"/>
  <c r="J148" i="74" s="1"/>
  <c r="L116" i="74"/>
  <c r="L148" i="74" s="1"/>
  <c r="U119" i="74"/>
  <c r="U151" i="74" s="1"/>
  <c r="Y119" i="74"/>
  <c r="Y151" i="74" s="1"/>
  <c r="Q119" i="74"/>
  <c r="Q151" i="74" s="1"/>
  <c r="K119" i="74"/>
  <c r="K151" i="74" s="1"/>
  <c r="N119" i="74"/>
  <c r="N151" i="74" s="1"/>
  <c r="S119" i="74"/>
  <c r="S151" i="74" s="1"/>
  <c r="R119" i="74"/>
  <c r="R151" i="74" s="1"/>
  <c r="T119" i="74"/>
  <c r="T151" i="74" s="1"/>
  <c r="W119" i="74"/>
  <c r="W151" i="74" s="1"/>
  <c r="O119" i="74"/>
  <c r="O151" i="74" s="1"/>
  <c r="P119" i="74"/>
  <c r="P151" i="74" s="1"/>
  <c r="M119" i="74"/>
  <c r="M151" i="74" s="1"/>
  <c r="X119" i="74"/>
  <c r="X151" i="74" s="1"/>
  <c r="V119" i="74"/>
  <c r="V151" i="74" s="1"/>
  <c r="J120" i="74"/>
  <c r="J152" i="74" s="1"/>
  <c r="L120" i="74"/>
  <c r="L152" i="74" s="1"/>
  <c r="Q115" i="74"/>
  <c r="Q147" i="74" s="1"/>
  <c r="U115" i="74"/>
  <c r="U147" i="74" s="1"/>
  <c r="X115" i="74"/>
  <c r="X147" i="74" s="1"/>
  <c r="N115" i="74"/>
  <c r="N147" i="74" s="1"/>
  <c r="T115" i="74"/>
  <c r="T147" i="74" s="1"/>
  <c r="S115" i="74"/>
  <c r="S147" i="74" s="1"/>
  <c r="Y115" i="74"/>
  <c r="Y147" i="74" s="1"/>
  <c r="R115" i="74"/>
  <c r="R147" i="74" s="1"/>
  <c r="P115" i="74"/>
  <c r="P147" i="74" s="1"/>
  <c r="K115" i="74"/>
  <c r="K147" i="74" s="1"/>
  <c r="W115" i="74"/>
  <c r="W147" i="74" s="1"/>
  <c r="O115" i="74"/>
  <c r="O147" i="74" s="1"/>
  <c r="M115" i="74"/>
  <c r="M147" i="74" s="1"/>
  <c r="V115" i="74"/>
  <c r="V147" i="74" s="1"/>
  <c r="L114" i="74"/>
  <c r="L146" i="74" s="1"/>
  <c r="J114" i="74"/>
  <c r="J146" i="74" s="1"/>
  <c r="L256" i="73"/>
  <c r="S118" i="74"/>
  <c r="S150" i="74" s="1"/>
  <c r="Q118" i="74"/>
  <c r="Q150" i="74" s="1"/>
  <c r="P118" i="74"/>
  <c r="P150" i="74" s="1"/>
  <c r="N118" i="74"/>
  <c r="N150" i="74" s="1"/>
  <c r="V118" i="74"/>
  <c r="V150" i="74" s="1"/>
  <c r="O118" i="74"/>
  <c r="O150" i="74" s="1"/>
  <c r="U118" i="74"/>
  <c r="U150" i="74" s="1"/>
  <c r="T118" i="74"/>
  <c r="T150" i="74" s="1"/>
  <c r="R118" i="74"/>
  <c r="R150" i="74" s="1"/>
  <c r="W118" i="74"/>
  <c r="W150" i="74" s="1"/>
  <c r="M118" i="74"/>
  <c r="M150" i="74" s="1"/>
  <c r="K118" i="74"/>
  <c r="K150" i="74" s="1"/>
  <c r="X118" i="74"/>
  <c r="X150" i="74" s="1"/>
  <c r="Y118" i="74"/>
  <c r="Y150" i="74" s="1"/>
  <c r="J122" i="74"/>
  <c r="J154" i="74" s="1"/>
  <c r="L122" i="74"/>
  <c r="L154" i="74" s="1"/>
  <c r="O256" i="73"/>
  <c r="P256" i="73"/>
  <c r="N256" i="73"/>
  <c r="T123" i="74"/>
  <c r="T155" i="74" s="1"/>
  <c r="Q123" i="74"/>
  <c r="Q155" i="74" s="1"/>
  <c r="O123" i="74"/>
  <c r="O155" i="74" s="1"/>
  <c r="N123" i="74"/>
  <c r="N155" i="74" s="1"/>
  <c r="P123" i="74"/>
  <c r="P155" i="74" s="1"/>
  <c r="X123" i="74"/>
  <c r="X155" i="74" s="1"/>
  <c r="V123" i="74"/>
  <c r="V155" i="74" s="1"/>
  <c r="K123" i="74"/>
  <c r="K155" i="74" s="1"/>
  <c r="U123" i="74"/>
  <c r="U155" i="74" s="1"/>
  <c r="R123" i="74"/>
  <c r="R155" i="74" s="1"/>
  <c r="M123" i="74"/>
  <c r="M155" i="74" s="1"/>
  <c r="W123" i="74"/>
  <c r="W155" i="74" s="1"/>
  <c r="S123" i="74"/>
  <c r="S155" i="74" s="1"/>
  <c r="Y123" i="74"/>
  <c r="Y155" i="74" s="1"/>
  <c r="L119" i="74"/>
  <c r="L151" i="74" s="1"/>
  <c r="J119" i="74"/>
  <c r="J151" i="74" s="1"/>
  <c r="Q256" i="73"/>
  <c r="J256" i="73"/>
  <c r="L118" i="74"/>
  <c r="L150" i="74" s="1"/>
  <c r="J118" i="74"/>
  <c r="J150" i="74" s="1"/>
  <c r="J117" i="74"/>
  <c r="J149" i="74" s="1"/>
  <c r="L117" i="74"/>
  <c r="L149" i="74" s="1"/>
  <c r="T117" i="74"/>
  <c r="T149" i="74" s="1"/>
  <c r="S117" i="74"/>
  <c r="S149" i="74" s="1"/>
  <c r="V117" i="74"/>
  <c r="V149" i="74" s="1"/>
  <c r="Q117" i="74"/>
  <c r="Q149" i="74" s="1"/>
  <c r="P117" i="74"/>
  <c r="P149" i="74" s="1"/>
  <c r="M117" i="74"/>
  <c r="M149" i="74" s="1"/>
  <c r="W117" i="74"/>
  <c r="W149" i="74" s="1"/>
  <c r="O117" i="74"/>
  <c r="O149" i="74" s="1"/>
  <c r="U117" i="74"/>
  <c r="U149" i="74" s="1"/>
  <c r="X117" i="74"/>
  <c r="X149" i="74" s="1"/>
  <c r="Y117" i="74"/>
  <c r="Y149" i="74" s="1"/>
  <c r="R117" i="74"/>
  <c r="R149" i="74" s="1"/>
  <c r="K117" i="74"/>
  <c r="K149" i="74" s="1"/>
  <c r="N117" i="74"/>
  <c r="N149" i="74" s="1"/>
  <c r="K256" i="73"/>
  <c r="U120" i="74"/>
  <c r="U152" i="74" s="1"/>
  <c r="P120" i="74"/>
  <c r="P152" i="74" s="1"/>
  <c r="O120" i="74"/>
  <c r="O152" i="74" s="1"/>
  <c r="K120" i="74"/>
  <c r="K152" i="74" s="1"/>
  <c r="R120" i="74"/>
  <c r="R152" i="74" s="1"/>
  <c r="W120" i="74"/>
  <c r="W152" i="74" s="1"/>
  <c r="N120" i="74"/>
  <c r="N152" i="74" s="1"/>
  <c r="X120" i="74"/>
  <c r="X152" i="74" s="1"/>
  <c r="Q120" i="74"/>
  <c r="Q152" i="74" s="1"/>
  <c r="Y120" i="74"/>
  <c r="Y152" i="74" s="1"/>
  <c r="M120" i="74"/>
  <c r="M152" i="74" s="1"/>
  <c r="T120" i="74"/>
  <c r="T152" i="74" s="1"/>
  <c r="V120" i="74"/>
  <c r="V152" i="74" s="1"/>
  <c r="S120" i="74"/>
  <c r="S152" i="74" s="1"/>
  <c r="J121" i="74"/>
  <c r="J153" i="74" s="1"/>
  <c r="L121" i="74"/>
  <c r="L153" i="74" s="1"/>
  <c r="J123" i="74"/>
  <c r="J155" i="74" s="1"/>
  <c r="L123" i="74"/>
  <c r="L155" i="74" s="1"/>
  <c r="P122" i="74"/>
  <c r="P154" i="74" s="1"/>
  <c r="Y122" i="74"/>
  <c r="Y154" i="74" s="1"/>
  <c r="X122" i="74"/>
  <c r="X154" i="74" s="1"/>
  <c r="K122" i="74"/>
  <c r="K154" i="74" s="1"/>
  <c r="T122" i="74"/>
  <c r="T154" i="74" s="1"/>
  <c r="Q122" i="74"/>
  <c r="Q154" i="74" s="1"/>
  <c r="U122" i="74"/>
  <c r="U154" i="74" s="1"/>
  <c r="N122" i="74"/>
  <c r="N154" i="74" s="1"/>
  <c r="R122" i="74"/>
  <c r="R154" i="74" s="1"/>
  <c r="S122" i="74"/>
  <c r="S154" i="74" s="1"/>
  <c r="M122" i="74"/>
  <c r="M154" i="74" s="1"/>
  <c r="V122" i="74"/>
  <c r="V154" i="74" s="1"/>
  <c r="O122" i="74"/>
  <c r="O154" i="74" s="1"/>
  <c r="W122" i="74"/>
  <c r="W154" i="74" s="1"/>
  <c r="P97" i="105"/>
  <c r="P101" i="105" s="1"/>
  <c r="O97" i="105"/>
  <c r="O101" i="105" s="1"/>
  <c r="J106" i="65" l="1"/>
  <c r="J135" i="65" s="1"/>
  <c r="J50" i="105" s="1"/>
  <c r="J89" i="105" s="1"/>
  <c r="J37" i="82"/>
  <c r="M107" i="65"/>
  <c r="M136" i="65" s="1"/>
  <c r="M51" i="105" s="1"/>
  <c r="M90" i="105" s="1"/>
  <c r="M38" i="82"/>
  <c r="M106" i="65"/>
  <c r="M135" i="65" s="1"/>
  <c r="M50" i="105" s="1"/>
  <c r="M89" i="105" s="1"/>
  <c r="M37" i="82"/>
  <c r="R107" i="65"/>
  <c r="R136" i="65" s="1"/>
  <c r="R51" i="105" s="1"/>
  <c r="R90" i="105" s="1"/>
  <c r="R38" i="82"/>
  <c r="M115" i="65"/>
  <c r="M144" i="65" s="1"/>
  <c r="M59" i="105" s="1"/>
  <c r="M124" i="65"/>
  <c r="M153" i="65" s="1"/>
  <c r="M68" i="105" s="1"/>
  <c r="U132" i="65"/>
  <c r="U47" i="105" s="1"/>
  <c r="U86" i="105" s="1"/>
  <c r="R116" i="65"/>
  <c r="R145" i="65" s="1"/>
  <c r="R60" i="105" s="1"/>
  <c r="R125" i="65"/>
  <c r="R154" i="65" s="1"/>
  <c r="R69" i="105" s="1"/>
  <c r="J124" i="65"/>
  <c r="J153" i="65" s="1"/>
  <c r="J68" i="105" s="1"/>
  <c r="J115" i="65"/>
  <c r="J144" i="65" s="1"/>
  <c r="J59" i="105" s="1"/>
  <c r="U130" i="65"/>
  <c r="U45" i="105" s="1"/>
  <c r="U84" i="105" s="1"/>
  <c r="U136" i="65"/>
  <c r="U51" i="105" s="1"/>
  <c r="U90" i="105" s="1"/>
  <c r="W131" i="65"/>
  <c r="W46" i="105" s="1"/>
  <c r="W85" i="105" s="1"/>
  <c r="M125" i="65"/>
  <c r="M154" i="65" s="1"/>
  <c r="M69" i="105" s="1"/>
  <c r="M116" i="65"/>
  <c r="M145" i="65" s="1"/>
  <c r="M60" i="105" s="1"/>
  <c r="Y161" i="74"/>
  <c r="R74" i="41"/>
  <c r="R102" i="41" s="1"/>
  <c r="K25" i="65"/>
  <c r="K95" i="65" s="1"/>
  <c r="T26" i="65"/>
  <c r="T96" i="65" s="1"/>
  <c r="S57" i="41"/>
  <c r="J75" i="41"/>
  <c r="Z102" i="41" s="1"/>
  <c r="P20" i="65"/>
  <c r="N57" i="41"/>
  <c r="T20" i="65"/>
  <c r="T90" i="65" s="1"/>
  <c r="T51" i="41"/>
  <c r="J52" i="41"/>
  <c r="T57" i="41"/>
  <c r="T52" i="41"/>
  <c r="W51" i="41"/>
  <c r="K26" i="65"/>
  <c r="K96" i="65" s="1"/>
  <c r="Y76" i="41"/>
  <c r="BE102" i="41" s="1"/>
  <c r="O76" i="41"/>
  <c r="AU102" i="41" s="1"/>
  <c r="W20" i="65"/>
  <c r="W90" i="65" s="1"/>
  <c r="W101" i="65" s="1"/>
  <c r="N75" i="41"/>
  <c r="AD102" i="41" s="1"/>
  <c r="N26" i="65"/>
  <c r="N96" i="65" s="1"/>
  <c r="Y22" i="65"/>
  <c r="Y92" i="65" s="1"/>
  <c r="Y103" i="65" s="1"/>
  <c r="X21" i="65"/>
  <c r="X91" i="65" s="1"/>
  <c r="V74" i="41"/>
  <c r="V102" i="41" s="1"/>
  <c r="U74" i="41"/>
  <c r="U102" i="41" s="1"/>
  <c r="P51" i="41"/>
  <c r="N21" i="65"/>
  <c r="M76" i="41"/>
  <c r="AS102" i="41" s="1"/>
  <c r="V76" i="41"/>
  <c r="BB102" i="41" s="1"/>
  <c r="P76" i="41"/>
  <c r="AV102" i="41" s="1"/>
  <c r="K51" i="41"/>
  <c r="N25" i="65"/>
  <c r="N95" i="65" s="1"/>
  <c r="V57" i="41"/>
  <c r="T75" i="41"/>
  <c r="AJ102" i="41" s="1"/>
  <c r="W74" i="41"/>
  <c r="W102" i="41" s="1"/>
  <c r="P74" i="41"/>
  <c r="P102" i="41" s="1"/>
  <c r="K57" i="41"/>
  <c r="Q25" i="65"/>
  <c r="Q95" i="65" s="1"/>
  <c r="O22" i="65"/>
  <c r="T74" i="41"/>
  <c r="T102" i="41" s="1"/>
  <c r="J26" i="65"/>
  <c r="J96" i="65" s="1"/>
  <c r="T21" i="65"/>
  <c r="T91" i="65" s="1"/>
  <c r="N52" i="41"/>
  <c r="S26" i="65"/>
  <c r="S96" i="65" s="1"/>
  <c r="Q56" i="41"/>
  <c r="Y53" i="41"/>
  <c r="O53" i="41"/>
  <c r="J21" i="65"/>
  <c r="M22" i="65"/>
  <c r="S75" i="41"/>
  <c r="AI102" i="41" s="1"/>
  <c r="Q51" i="41"/>
  <c r="K75" i="41"/>
  <c r="AA102" i="41" s="1"/>
  <c r="J53" i="41"/>
  <c r="R20" i="65"/>
  <c r="R90" i="65" s="1"/>
  <c r="L25" i="65"/>
  <c r="L95" i="65" s="1"/>
  <c r="P52" i="41"/>
  <c r="O21" i="65"/>
  <c r="N76" i="41"/>
  <c r="AT102" i="41" s="1"/>
  <c r="P57" i="41"/>
  <c r="V20" i="65"/>
  <c r="V90" i="65" s="1"/>
  <c r="T53" i="41"/>
  <c r="P21" i="65"/>
  <c r="O56" i="41"/>
  <c r="O75" i="41"/>
  <c r="AE102" i="41" s="1"/>
  <c r="X20" i="65"/>
  <c r="X90" i="65" s="1"/>
  <c r="R53" i="41"/>
  <c r="N22" i="65"/>
  <c r="P25" i="65"/>
  <c r="P95" i="65" s="1"/>
  <c r="T22" i="65"/>
  <c r="T92" i="65" s="1"/>
  <c r="W26" i="65"/>
  <c r="W96" i="65" s="1"/>
  <c r="W107" i="65" s="1"/>
  <c r="W76" i="41"/>
  <c r="BC102" i="41" s="1"/>
  <c r="Y20" i="65"/>
  <c r="Y90" i="65" s="1"/>
  <c r="Y101" i="65" s="1"/>
  <c r="Y52" i="41"/>
  <c r="M53" i="41"/>
  <c r="X51" i="41"/>
  <c r="M57" i="41"/>
  <c r="J57" i="41"/>
  <c r="Y51" i="41"/>
  <c r="M56" i="41"/>
  <c r="Y75" i="41"/>
  <c r="AO102" i="41" s="1"/>
  <c r="X53" i="41"/>
  <c r="W22" i="65"/>
  <c r="W92" i="65" s="1"/>
  <c r="W103" i="65" s="1"/>
  <c r="J76" i="41"/>
  <c r="AP102" i="41" s="1"/>
  <c r="K22" i="65"/>
  <c r="N53" i="41"/>
  <c r="P56" i="41"/>
  <c r="L56" i="41"/>
  <c r="V21" i="65"/>
  <c r="V91" i="65" s="1"/>
  <c r="T76" i="41"/>
  <c r="AZ102" i="41" s="1"/>
  <c r="U52" i="41"/>
  <c r="M51" i="41"/>
  <c r="J22" i="65"/>
  <c r="O26" i="65"/>
  <c r="O96" i="65" s="1"/>
  <c r="S51" i="41"/>
  <c r="U53" i="41"/>
  <c r="M75" i="41"/>
  <c r="AC102" i="41" s="1"/>
  <c r="S22" i="65"/>
  <c r="S92" i="65" s="1"/>
  <c r="X74" i="41"/>
  <c r="X102" i="41" s="1"/>
  <c r="L53" i="41"/>
  <c r="R76" i="41"/>
  <c r="AX102" i="41" s="1"/>
  <c r="V51" i="41"/>
  <c r="P26" i="65"/>
  <c r="P96" i="65" s="1"/>
  <c r="P75" i="41"/>
  <c r="AF102" i="41" s="1"/>
  <c r="O25" i="65"/>
  <c r="O95" i="65" s="1"/>
  <c r="W57" i="41"/>
  <c r="W53" i="41"/>
  <c r="O52" i="41"/>
  <c r="O57" i="41"/>
  <c r="R22" i="65"/>
  <c r="R92" i="65" s="1"/>
  <c r="Y21" i="65"/>
  <c r="Y91" i="65" s="1"/>
  <c r="Y102" i="65" s="1"/>
  <c r="V75" i="41"/>
  <c r="AL102" i="41" s="1"/>
  <c r="X22" i="65"/>
  <c r="X92" i="65" s="1"/>
  <c r="L22" i="65"/>
  <c r="O74" i="41"/>
  <c r="O102" i="41" s="1"/>
  <c r="M52" i="41"/>
  <c r="S74" i="41"/>
  <c r="S102" i="41" s="1"/>
  <c r="U76" i="41"/>
  <c r="BA102" i="41" s="1"/>
  <c r="K76" i="41"/>
  <c r="AQ102" i="41" s="1"/>
  <c r="Q52" i="41"/>
  <c r="S53" i="41"/>
  <c r="U21" i="65"/>
  <c r="U91" i="65" s="1"/>
  <c r="U102" i="65" s="1"/>
  <c r="Q26" i="65"/>
  <c r="Q96" i="65" s="1"/>
  <c r="M20" i="65"/>
  <c r="Y26" i="65"/>
  <c r="Y96" i="65" s="1"/>
  <c r="Y107" i="65" s="1"/>
  <c r="Y74" i="41"/>
  <c r="Y102" i="41" s="1"/>
  <c r="R51" i="41"/>
  <c r="Y57" i="41"/>
  <c r="J56" i="41"/>
  <c r="V26" i="65"/>
  <c r="V96" i="65" s="1"/>
  <c r="V53" i="41"/>
  <c r="K20" i="65"/>
  <c r="Q53" i="41"/>
  <c r="N74" i="41"/>
  <c r="N102" i="41" s="1"/>
  <c r="K21" i="65"/>
  <c r="W52" i="41"/>
  <c r="L52" i="41"/>
  <c r="L20" i="65"/>
  <c r="Q74" i="41"/>
  <c r="Q102" i="41" s="1"/>
  <c r="P22" i="65"/>
  <c r="S21" i="65"/>
  <c r="S91" i="65" s="1"/>
  <c r="N24" i="41"/>
  <c r="J20" i="41"/>
  <c r="Q24" i="41"/>
  <c r="P24" i="41"/>
  <c r="Q76" i="41"/>
  <c r="AW102" i="41" s="1"/>
  <c r="V52" i="41"/>
  <c r="U51" i="41"/>
  <c r="R57" i="41"/>
  <c r="Q57" i="41"/>
  <c r="S52" i="41"/>
  <c r="L24" i="41"/>
  <c r="L75" i="41"/>
  <c r="AB102" i="41" s="1"/>
  <c r="X26" i="65"/>
  <c r="X96" i="65" s="1"/>
  <c r="S76" i="41"/>
  <c r="AY102" i="41" s="1"/>
  <c r="V22" i="65"/>
  <c r="V92" i="65" s="1"/>
  <c r="S20" i="65"/>
  <c r="S90" i="65" s="1"/>
  <c r="M24" i="41"/>
  <c r="M55" i="41" s="1"/>
  <c r="K56" i="41"/>
  <c r="N20" i="65"/>
  <c r="J24" i="41"/>
  <c r="X52" i="41"/>
  <c r="O24" i="41"/>
  <c r="L74" i="41"/>
  <c r="L102" i="41" s="1"/>
  <c r="W75" i="41"/>
  <c r="AM102" i="41" s="1"/>
  <c r="Q75" i="41"/>
  <c r="AG102" i="41" s="1"/>
  <c r="U57" i="41"/>
  <c r="O51" i="41"/>
  <c r="K24" i="41"/>
  <c r="L57" i="41"/>
  <c r="L26" i="65"/>
  <c r="L96" i="65" s="1"/>
  <c r="R21" i="65"/>
  <c r="R91" i="65" s="1"/>
  <c r="R75" i="41"/>
  <c r="AH102" i="41" s="1"/>
  <c r="R52" i="41"/>
  <c r="O161" i="74"/>
  <c r="R161" i="74"/>
  <c r="P161" i="74"/>
  <c r="N161" i="74"/>
  <c r="K161" i="74"/>
  <c r="T161" i="74"/>
  <c r="V161" i="74"/>
  <c r="Q161" i="74"/>
  <c r="M161" i="74"/>
  <c r="U161" i="74"/>
  <c r="X161" i="74"/>
  <c r="W161" i="74"/>
  <c r="S161" i="74"/>
  <c r="J49" i="55"/>
  <c r="H223" i="71" a="1"/>
  <c r="H223" i="71" s="1"/>
  <c r="J48" i="55" s="1"/>
  <c r="A4" i="83"/>
  <c r="J46" i="55"/>
  <c r="J161" i="74"/>
  <c r="L161" i="74"/>
  <c r="H291" i="73" a="1"/>
  <c r="H291" i="73" s="1"/>
  <c r="H295" i="73" s="1"/>
  <c r="P129" i="105"/>
  <c r="P135" i="105"/>
  <c r="V107" i="65" l="1"/>
  <c r="V136" i="65" s="1"/>
  <c r="V51" i="105" s="1"/>
  <c r="V90" i="105" s="1"/>
  <c r="U38" i="82"/>
  <c r="S103" i="65"/>
  <c r="S132" i="65" s="1"/>
  <c r="S47" i="105" s="1"/>
  <c r="S86" i="105" s="1"/>
  <c r="S34" i="82"/>
  <c r="X101" i="65"/>
  <c r="X130" i="65" s="1"/>
  <c r="X45" i="105" s="1"/>
  <c r="X84" i="105" s="1"/>
  <c r="V32" i="82"/>
  <c r="X103" i="65"/>
  <c r="X132" i="65" s="1"/>
  <c r="X47" i="105" s="1"/>
  <c r="X86" i="105" s="1"/>
  <c r="V34" i="82"/>
  <c r="O106" i="65"/>
  <c r="O135" i="65" s="1"/>
  <c r="O50" i="105" s="1"/>
  <c r="O89" i="105" s="1"/>
  <c r="O37" i="82"/>
  <c r="V102" i="65"/>
  <c r="V131" i="65" s="1"/>
  <c r="V46" i="105" s="1"/>
  <c r="V85" i="105" s="1"/>
  <c r="U33" i="82"/>
  <c r="N106" i="65"/>
  <c r="N135" i="65" s="1"/>
  <c r="N50" i="105" s="1"/>
  <c r="N89" i="105" s="1"/>
  <c r="N37" i="82"/>
  <c r="K107" i="65"/>
  <c r="K136" i="65" s="1"/>
  <c r="K51" i="105" s="1"/>
  <c r="K90" i="105" s="1"/>
  <c r="K38" i="82"/>
  <c r="X107" i="65"/>
  <c r="X136" i="65" s="1"/>
  <c r="X51" i="105" s="1"/>
  <c r="X90" i="105" s="1"/>
  <c r="V38" i="82"/>
  <c r="J107" i="65"/>
  <c r="J136" i="65" s="1"/>
  <c r="J51" i="105" s="1"/>
  <c r="J90" i="105" s="1"/>
  <c r="J38" i="82"/>
  <c r="L106" i="65"/>
  <c r="L135" i="65" s="1"/>
  <c r="L50" i="105" s="1"/>
  <c r="L89" i="105" s="1"/>
  <c r="L37" i="82"/>
  <c r="X102" i="65"/>
  <c r="X131" i="65" s="1"/>
  <c r="X46" i="105" s="1"/>
  <c r="X85" i="105" s="1"/>
  <c r="V33" i="82"/>
  <c r="P107" i="65"/>
  <c r="P136" i="65" s="1"/>
  <c r="P51" i="105" s="1"/>
  <c r="P90" i="105" s="1"/>
  <c r="P38" i="82"/>
  <c r="R101" i="65"/>
  <c r="R130" i="65" s="1"/>
  <c r="R45" i="105" s="1"/>
  <c r="R84" i="105" s="1"/>
  <c r="R32" i="82"/>
  <c r="Q106" i="65"/>
  <c r="Q135" i="65" s="1"/>
  <c r="Q50" i="105" s="1"/>
  <c r="Q89" i="105" s="1"/>
  <c r="Q37" i="82"/>
  <c r="R103" i="65"/>
  <c r="R132" i="65" s="1"/>
  <c r="R47" i="105" s="1"/>
  <c r="R86" i="105" s="1"/>
  <c r="R34" i="82"/>
  <c r="O107" i="65"/>
  <c r="O136" i="65" s="1"/>
  <c r="O51" i="105" s="1"/>
  <c r="O90" i="105" s="1"/>
  <c r="O38" i="82"/>
  <c r="T103" i="65"/>
  <c r="T132" i="65" s="1"/>
  <c r="T47" i="105" s="1"/>
  <c r="T86" i="105" s="1"/>
  <c r="T34" i="82"/>
  <c r="N107" i="65"/>
  <c r="N136" i="65" s="1"/>
  <c r="N51" i="105" s="1"/>
  <c r="N90" i="105" s="1"/>
  <c r="N38" i="82"/>
  <c r="T107" i="65"/>
  <c r="T136" i="65" s="1"/>
  <c r="T51" i="105" s="1"/>
  <c r="T90" i="105" s="1"/>
  <c r="T38" i="82"/>
  <c r="S101" i="65"/>
  <c r="S130" i="65" s="1"/>
  <c r="S45" i="105" s="1"/>
  <c r="S84" i="105" s="1"/>
  <c r="S32" i="82"/>
  <c r="S102" i="65"/>
  <c r="S131" i="65" s="1"/>
  <c r="S46" i="105" s="1"/>
  <c r="S85" i="105" s="1"/>
  <c r="S33" i="82"/>
  <c r="P106" i="65"/>
  <c r="P135" i="65" s="1"/>
  <c r="P50" i="105" s="1"/>
  <c r="P89" i="105" s="1"/>
  <c r="P37" i="82"/>
  <c r="V101" i="65"/>
  <c r="V130" i="65" s="1"/>
  <c r="V45" i="105" s="1"/>
  <c r="V84" i="105" s="1"/>
  <c r="U32" i="82"/>
  <c r="S107" i="65"/>
  <c r="S136" i="65" s="1"/>
  <c r="S51" i="105" s="1"/>
  <c r="S90" i="105" s="1"/>
  <c r="S38" i="82"/>
  <c r="K106" i="65"/>
  <c r="K135" i="65" s="1"/>
  <c r="K50" i="105" s="1"/>
  <c r="K89" i="105" s="1"/>
  <c r="K37" i="82"/>
  <c r="R102" i="65"/>
  <c r="R131" i="65" s="1"/>
  <c r="R46" i="105" s="1"/>
  <c r="R85" i="105" s="1"/>
  <c r="R33" i="82"/>
  <c r="V103" i="65"/>
  <c r="V132" i="65" s="1"/>
  <c r="V47" i="105" s="1"/>
  <c r="V86" i="105" s="1"/>
  <c r="U34" i="82"/>
  <c r="L107" i="65"/>
  <c r="L136" i="65" s="1"/>
  <c r="L51" i="105" s="1"/>
  <c r="L90" i="105" s="1"/>
  <c r="L38" i="82"/>
  <c r="Q107" i="65"/>
  <c r="Q136" i="65" s="1"/>
  <c r="Q51" i="105" s="1"/>
  <c r="Q90" i="105" s="1"/>
  <c r="Q38" i="82"/>
  <c r="T102" i="65"/>
  <c r="T131" i="65" s="1"/>
  <c r="T46" i="105" s="1"/>
  <c r="T85" i="105" s="1"/>
  <c r="T33" i="82"/>
  <c r="T101" i="65"/>
  <c r="T130" i="65" s="1"/>
  <c r="T45" i="105" s="1"/>
  <c r="T84" i="105" s="1"/>
  <c r="T32" i="82"/>
  <c r="M110" i="105"/>
  <c r="M187" i="105"/>
  <c r="M109" i="105"/>
  <c r="M186" i="105"/>
  <c r="M99" i="105"/>
  <c r="M175" i="105"/>
  <c r="L116" i="65"/>
  <c r="L145" i="65" s="1"/>
  <c r="L60" i="105" s="1"/>
  <c r="L125" i="65"/>
  <c r="L154" i="65" s="1"/>
  <c r="L69" i="105" s="1"/>
  <c r="S119" i="65"/>
  <c r="S148" i="65" s="1"/>
  <c r="S63" i="105" s="1"/>
  <c r="X125" i="65"/>
  <c r="X154" i="65" s="1"/>
  <c r="X69" i="105" s="1"/>
  <c r="X110" i="105" s="1"/>
  <c r="V125" i="65"/>
  <c r="V154" i="65" s="1"/>
  <c r="V69" i="105" s="1"/>
  <c r="V110" i="105" s="1"/>
  <c r="Y136" i="65"/>
  <c r="Y51" i="105" s="1"/>
  <c r="Y90" i="105" s="1"/>
  <c r="Y131" i="65"/>
  <c r="Y46" i="105" s="1"/>
  <c r="Y85" i="105" s="1"/>
  <c r="O124" i="65"/>
  <c r="O153" i="65" s="1"/>
  <c r="O68" i="105" s="1"/>
  <c r="O186" i="105" s="1"/>
  <c r="V120" i="65"/>
  <c r="V149" i="65" s="1"/>
  <c r="V64" i="105" s="1"/>
  <c r="P124" i="65"/>
  <c r="P153" i="65" s="1"/>
  <c r="P68" i="105" s="1"/>
  <c r="P109" i="105" s="1"/>
  <c r="L124" i="65"/>
  <c r="L153" i="65" s="1"/>
  <c r="L68" i="105" s="1"/>
  <c r="L186" i="105" s="1"/>
  <c r="L115" i="65"/>
  <c r="L144" i="65" s="1"/>
  <c r="L59" i="105" s="1"/>
  <c r="L175" i="105" s="1"/>
  <c r="S125" i="65"/>
  <c r="S154" i="65" s="1"/>
  <c r="S69" i="105" s="1"/>
  <c r="J125" i="65"/>
  <c r="J154" i="65" s="1"/>
  <c r="J69" i="105" s="1"/>
  <c r="J110" i="105" s="1"/>
  <c r="J116" i="65"/>
  <c r="J145" i="65" s="1"/>
  <c r="J60" i="105" s="1"/>
  <c r="Q115" i="65"/>
  <c r="Q144" i="65" s="1"/>
  <c r="Q59" i="105" s="1"/>
  <c r="Q124" i="65"/>
  <c r="Q153" i="65" s="1"/>
  <c r="Q68" i="105" s="1"/>
  <c r="Q109" i="105" s="1"/>
  <c r="N115" i="65"/>
  <c r="N144" i="65" s="1"/>
  <c r="N59" i="105" s="1"/>
  <c r="N99" i="105" s="1"/>
  <c r="N124" i="65"/>
  <c r="N153" i="65" s="1"/>
  <c r="N68" i="105" s="1"/>
  <c r="N109" i="105" s="1"/>
  <c r="K124" i="65"/>
  <c r="K153" i="65" s="1"/>
  <c r="K68" i="105" s="1"/>
  <c r="K115" i="65"/>
  <c r="K144" i="65" s="1"/>
  <c r="K59" i="105" s="1"/>
  <c r="V121" i="65"/>
  <c r="V150" i="65" s="1"/>
  <c r="V65" i="105" s="1"/>
  <c r="S121" i="65"/>
  <c r="S150" i="65" s="1"/>
  <c r="S65" i="105" s="1"/>
  <c r="O125" i="65"/>
  <c r="O154" i="65" s="1"/>
  <c r="O69" i="105" s="1"/>
  <c r="V119" i="65"/>
  <c r="V148" i="65" s="1"/>
  <c r="V63" i="105" s="1"/>
  <c r="R119" i="65"/>
  <c r="R148" i="65" s="1"/>
  <c r="R63" i="105" s="1"/>
  <c r="R110" i="65"/>
  <c r="R139" i="65" s="1"/>
  <c r="R54" i="105" s="1"/>
  <c r="N125" i="65"/>
  <c r="N154" i="65" s="1"/>
  <c r="N69" i="105" s="1"/>
  <c r="N110" i="105" s="1"/>
  <c r="N116" i="65"/>
  <c r="N145" i="65" s="1"/>
  <c r="N60" i="105" s="1"/>
  <c r="R110" i="105"/>
  <c r="R187" i="105"/>
  <c r="R100" i="105"/>
  <c r="R176" i="105"/>
  <c r="Q125" i="65"/>
  <c r="Q154" i="65" s="1"/>
  <c r="Q69" i="105" s="1"/>
  <c r="Q110" i="105" s="1"/>
  <c r="Q116" i="65"/>
  <c r="Q145" i="65" s="1"/>
  <c r="Q60" i="105" s="1"/>
  <c r="X121" i="65"/>
  <c r="X150" i="65" s="1"/>
  <c r="X65" i="105" s="1"/>
  <c r="R121" i="65"/>
  <c r="R150" i="65" s="1"/>
  <c r="R65" i="105" s="1"/>
  <c r="R112" i="65"/>
  <c r="R141" i="65" s="1"/>
  <c r="R56" i="105" s="1"/>
  <c r="P125" i="65"/>
  <c r="P154" i="65" s="1"/>
  <c r="P69" i="105" s="1"/>
  <c r="P110" i="105" s="1"/>
  <c r="W132" i="65"/>
  <c r="W47" i="105" s="1"/>
  <c r="W86" i="105" s="1"/>
  <c r="Y130" i="65"/>
  <c r="Y45" i="105" s="1"/>
  <c r="Y84" i="105" s="1"/>
  <c r="W136" i="65"/>
  <c r="W51" i="105" s="1"/>
  <c r="W90" i="105" s="1"/>
  <c r="X120" i="65"/>
  <c r="X149" i="65" s="1"/>
  <c r="X64" i="105" s="1"/>
  <c r="X105" i="105" s="1"/>
  <c r="T119" i="65"/>
  <c r="T148" i="65" s="1"/>
  <c r="T63" i="105" s="1"/>
  <c r="T110" i="65"/>
  <c r="T139" i="65" s="1"/>
  <c r="T54" i="105" s="1"/>
  <c r="T94" i="105" s="1"/>
  <c r="M100" i="105"/>
  <c r="M176" i="105"/>
  <c r="R120" i="65"/>
  <c r="R149" i="65" s="1"/>
  <c r="R64" i="105" s="1"/>
  <c r="R111" i="65"/>
  <c r="R140" i="65" s="1"/>
  <c r="R55" i="105" s="1"/>
  <c r="S120" i="65"/>
  <c r="S149" i="65" s="1"/>
  <c r="S64" i="105" s="1"/>
  <c r="U131" i="65"/>
  <c r="U46" i="105" s="1"/>
  <c r="U85" i="105" s="1"/>
  <c r="T121" i="65"/>
  <c r="T150" i="65" s="1"/>
  <c r="T65" i="105" s="1"/>
  <c r="T183" i="105" s="1"/>
  <c r="T112" i="65"/>
  <c r="T141" i="65" s="1"/>
  <c r="T56" i="105" s="1"/>
  <c r="X119" i="65"/>
  <c r="X148" i="65" s="1"/>
  <c r="X63" i="105" s="1"/>
  <c r="T120" i="65"/>
  <c r="T149" i="65" s="1"/>
  <c r="T64" i="105" s="1"/>
  <c r="T105" i="105" s="1"/>
  <c r="T111" i="65"/>
  <c r="T140" i="65" s="1"/>
  <c r="T55" i="105" s="1"/>
  <c r="T171" i="105" s="1"/>
  <c r="Y132" i="65"/>
  <c r="Y47" i="105" s="1"/>
  <c r="Y86" i="105" s="1"/>
  <c r="W130" i="65"/>
  <c r="W45" i="105" s="1"/>
  <c r="W84" i="105" s="1"/>
  <c r="K116" i="65"/>
  <c r="K145" i="65" s="1"/>
  <c r="K60" i="105" s="1"/>
  <c r="K125" i="65"/>
  <c r="K154" i="65" s="1"/>
  <c r="K69" i="105" s="1"/>
  <c r="T116" i="65"/>
  <c r="T145" i="65" s="1"/>
  <c r="T60" i="105" s="1"/>
  <c r="T100" i="105" s="1"/>
  <c r="T125" i="65"/>
  <c r="T154" i="65" s="1"/>
  <c r="T69" i="105" s="1"/>
  <c r="T187" i="105" s="1"/>
  <c r="J24" i="65"/>
  <c r="J94" i="65" s="1"/>
  <c r="H56" i="41"/>
  <c r="N55" i="41"/>
  <c r="P55" i="41"/>
  <c r="J20" i="65"/>
  <c r="L55" i="41"/>
  <c r="J55" i="41"/>
  <c r="L24" i="65"/>
  <c r="L94" i="65" s="1"/>
  <c r="N24" i="65"/>
  <c r="N94" i="65" s="1"/>
  <c r="O24" i="65"/>
  <c r="O94" i="65" s="1"/>
  <c r="H53" i="41"/>
  <c r="H52" i="41"/>
  <c r="O55" i="41"/>
  <c r="Q24" i="65"/>
  <c r="Q94" i="65" s="1"/>
  <c r="Q55" i="41"/>
  <c r="K55" i="41"/>
  <c r="J74" i="41"/>
  <c r="J102" i="41" s="1"/>
  <c r="M24" i="65"/>
  <c r="M94" i="65" s="1"/>
  <c r="H57" i="41"/>
  <c r="P24" i="65"/>
  <c r="P94" i="65" s="1"/>
  <c r="J51" i="41"/>
  <c r="H51" i="41" s="1"/>
  <c r="K24" i="65"/>
  <c r="K94" i="65" s="1"/>
  <c r="S23" i="41"/>
  <c r="Y23" i="41"/>
  <c r="P23" i="41"/>
  <c r="P54" i="41" s="1"/>
  <c r="L23" i="41"/>
  <c r="X23" i="41"/>
  <c r="Q23" i="41"/>
  <c r="K23" i="41"/>
  <c r="K54" i="41" s="1"/>
  <c r="O23" i="41"/>
  <c r="J23" i="41"/>
  <c r="J54" i="41" s="1"/>
  <c r="U23" i="41"/>
  <c r="V23" i="41"/>
  <c r="N23" i="41"/>
  <c r="W23" i="41"/>
  <c r="M23" i="41"/>
  <c r="M54" i="41" s="1"/>
  <c r="M58" i="41" s="1"/>
  <c r="T23" i="41"/>
  <c r="R23" i="41"/>
  <c r="R54" i="41" s="1"/>
  <c r="R58" i="41" s="1"/>
  <c r="A4" i="71"/>
  <c r="J186" i="105"/>
  <c r="J109" i="105"/>
  <c r="J50" i="55"/>
  <c r="A4" i="73"/>
  <c r="J175" i="105"/>
  <c r="J99" i="105"/>
  <c r="H165" i="74" a="1"/>
  <c r="H165" i="74" s="1"/>
  <c r="S106" i="105" l="1"/>
  <c r="S183" i="105"/>
  <c r="S110" i="105"/>
  <c r="S187" i="105"/>
  <c r="S105" i="105"/>
  <c r="S182" i="105"/>
  <c r="S104" i="105"/>
  <c r="S181" i="105"/>
  <c r="K105" i="65"/>
  <c r="K36" i="82"/>
  <c r="Q105" i="65"/>
  <c r="Q134" i="65" s="1"/>
  <c r="Q49" i="105" s="1"/>
  <c r="Q88" i="105" s="1"/>
  <c r="Q36" i="82"/>
  <c r="L105" i="65"/>
  <c r="L134" i="65" s="1"/>
  <c r="L49" i="105" s="1"/>
  <c r="L88" i="105" s="1"/>
  <c r="L36" i="82"/>
  <c r="P105" i="65"/>
  <c r="P134" i="65" s="1"/>
  <c r="P49" i="105" s="1"/>
  <c r="P88" i="105" s="1"/>
  <c r="P36" i="82"/>
  <c r="J105" i="65"/>
  <c r="J134" i="65" s="1"/>
  <c r="J49" i="105" s="1"/>
  <c r="J88" i="105" s="1"/>
  <c r="J36" i="82"/>
  <c r="M105" i="65"/>
  <c r="M134" i="65" s="1"/>
  <c r="M49" i="105" s="1"/>
  <c r="M88" i="105" s="1"/>
  <c r="M36" i="82"/>
  <c r="O105" i="65"/>
  <c r="O36" i="82"/>
  <c r="N105" i="65"/>
  <c r="N134" i="65" s="1"/>
  <c r="N49" i="105" s="1"/>
  <c r="N88" i="105" s="1"/>
  <c r="N36" i="82"/>
  <c r="X182" i="105"/>
  <c r="T96" i="105"/>
  <c r="T172" i="105"/>
  <c r="X104" i="105"/>
  <c r="X181" i="105"/>
  <c r="T104" i="105"/>
  <c r="T181" i="105"/>
  <c r="L99" i="105"/>
  <c r="N175" i="105"/>
  <c r="V104" i="105"/>
  <c r="V181" i="105"/>
  <c r="K110" i="105"/>
  <c r="K187" i="105"/>
  <c r="Q100" i="105"/>
  <c r="Q176" i="105"/>
  <c r="O110" i="105"/>
  <c r="O187" i="105"/>
  <c r="J176" i="105"/>
  <c r="J100" i="105"/>
  <c r="X106" i="105"/>
  <c r="X183" i="105"/>
  <c r="V183" i="105"/>
  <c r="V106" i="105"/>
  <c r="K99" i="105"/>
  <c r="K175" i="105"/>
  <c r="Q99" i="105"/>
  <c r="Q175" i="105"/>
  <c r="K100" i="105"/>
  <c r="K176" i="105"/>
  <c r="R96" i="105"/>
  <c r="R172" i="105"/>
  <c r="N100" i="105"/>
  <c r="N176" i="105"/>
  <c r="V182" i="105"/>
  <c r="V105" i="105"/>
  <c r="R105" i="105"/>
  <c r="R182" i="105"/>
  <c r="M123" i="65"/>
  <c r="M152" i="65" s="1"/>
  <c r="M67" i="105" s="1"/>
  <c r="M114" i="65"/>
  <c r="M143" i="65" s="1"/>
  <c r="M58" i="105" s="1"/>
  <c r="L114" i="65"/>
  <c r="L143" i="65" s="1"/>
  <c r="L58" i="105" s="1"/>
  <c r="L123" i="65"/>
  <c r="L152" i="65" s="1"/>
  <c r="L67" i="105" s="1"/>
  <c r="L108" i="105" s="1"/>
  <c r="R95" i="105"/>
  <c r="R171" i="105"/>
  <c r="O123" i="65"/>
  <c r="O152" i="65" s="1"/>
  <c r="O67" i="105" s="1"/>
  <c r="O134" i="65"/>
  <c r="O49" i="105" s="1"/>
  <c r="O88" i="105" s="1"/>
  <c r="R106" i="105"/>
  <c r="R183" i="105"/>
  <c r="R94" i="105"/>
  <c r="R170" i="105"/>
  <c r="K109" i="105"/>
  <c r="K186" i="105"/>
  <c r="P123" i="65"/>
  <c r="P152" i="65" s="1"/>
  <c r="P67" i="105" s="1"/>
  <c r="P108" i="105" s="1"/>
  <c r="J114" i="65"/>
  <c r="J143" i="65" s="1"/>
  <c r="J58" i="105" s="1"/>
  <c r="J123" i="65"/>
  <c r="J152" i="65" s="1"/>
  <c r="J67" i="105" s="1"/>
  <c r="J185" i="105" s="1"/>
  <c r="K114" i="65"/>
  <c r="K143" i="65" s="1"/>
  <c r="K58" i="105" s="1"/>
  <c r="K123" i="65"/>
  <c r="K152" i="65" s="1"/>
  <c r="K67" i="105" s="1"/>
  <c r="K134" i="65"/>
  <c r="K49" i="105" s="1"/>
  <c r="K88" i="105" s="1"/>
  <c r="Q123" i="65"/>
  <c r="Q152" i="65" s="1"/>
  <c r="Q67" i="105" s="1"/>
  <c r="Q114" i="65"/>
  <c r="Q143" i="65" s="1"/>
  <c r="Q58" i="105" s="1"/>
  <c r="Q174" i="105" s="1"/>
  <c r="N123" i="65"/>
  <c r="N152" i="65" s="1"/>
  <c r="N67" i="105" s="1"/>
  <c r="N185" i="105" s="1"/>
  <c r="N114" i="65"/>
  <c r="N143" i="65" s="1"/>
  <c r="N58" i="105" s="1"/>
  <c r="N98" i="105" s="1"/>
  <c r="R104" i="105"/>
  <c r="R181" i="105"/>
  <c r="T170" i="105"/>
  <c r="O54" i="41"/>
  <c r="O58" i="41" s="1"/>
  <c r="W23" i="65"/>
  <c r="W93" i="65" s="1"/>
  <c r="W104" i="65" s="1"/>
  <c r="T110" i="105"/>
  <c r="T176" i="105"/>
  <c r="N187" i="105"/>
  <c r="T182" i="105"/>
  <c r="T106" i="105"/>
  <c r="H89" i="105"/>
  <c r="N186" i="105"/>
  <c r="J187" i="105"/>
  <c r="Q186" i="105"/>
  <c r="L109" i="105"/>
  <c r="T95" i="105"/>
  <c r="P186" i="105"/>
  <c r="Q187" i="105"/>
  <c r="L54" i="41"/>
  <c r="L58" i="41" s="1"/>
  <c r="O109" i="105"/>
  <c r="P58" i="41"/>
  <c r="X187" i="105"/>
  <c r="H90" i="105"/>
  <c r="V187" i="105"/>
  <c r="Y109" i="41"/>
  <c r="N109" i="41"/>
  <c r="AZ109" i="41"/>
  <c r="AB109" i="41"/>
  <c r="Q109" i="41"/>
  <c r="AO109" i="41"/>
  <c r="X109" i="41"/>
  <c r="AY109" i="41"/>
  <c r="AQ109" i="41"/>
  <c r="BA109" i="41"/>
  <c r="P187" i="105"/>
  <c r="H55" i="41"/>
  <c r="AG109" i="41"/>
  <c r="L109" i="41"/>
  <c r="AC109" i="41"/>
  <c r="O109" i="41"/>
  <c r="AP109" i="41"/>
  <c r="J109" i="41"/>
  <c r="AJ109" i="41"/>
  <c r="V109" i="41"/>
  <c r="BB109" i="41"/>
  <c r="AK109" i="41"/>
  <c r="U109" i="41"/>
  <c r="W109" i="41"/>
  <c r="AS109" i="41"/>
  <c r="AA109" i="41"/>
  <c r="M109" i="41"/>
  <c r="AN109" i="41"/>
  <c r="AI109" i="41"/>
  <c r="R109" i="41"/>
  <c r="AT109" i="41"/>
  <c r="BE109" i="41"/>
  <c r="P109" i="41"/>
  <c r="K109" i="41"/>
  <c r="T109" i="41"/>
  <c r="BC109" i="41"/>
  <c r="AE109" i="41"/>
  <c r="AV109" i="41"/>
  <c r="Z109" i="41"/>
  <c r="AD109" i="41"/>
  <c r="BD109" i="41"/>
  <c r="AR109" i="41"/>
  <c r="AU109" i="41"/>
  <c r="AL109" i="41"/>
  <c r="AF109" i="41"/>
  <c r="AH109" i="41"/>
  <c r="AW109" i="41"/>
  <c r="S109" i="41"/>
  <c r="AX109" i="41"/>
  <c r="AM109" i="41"/>
  <c r="O23" i="65"/>
  <c r="O93" i="65" s="1"/>
  <c r="T54" i="41"/>
  <c r="T58" i="41" s="1"/>
  <c r="L23" i="65"/>
  <c r="L93" i="65" s="1"/>
  <c r="Q54" i="41"/>
  <c r="Q58" i="41" s="1"/>
  <c r="K58" i="41"/>
  <c r="Q23" i="65"/>
  <c r="Q93" i="65" s="1"/>
  <c r="Y54" i="41"/>
  <c r="Y58" i="41" s="1"/>
  <c r="V54" i="41"/>
  <c r="V58" i="41" s="1"/>
  <c r="Y23" i="65"/>
  <c r="Y93" i="65" s="1"/>
  <c r="Y104" i="65" s="1"/>
  <c r="V23" i="65"/>
  <c r="V93" i="65" s="1"/>
  <c r="T23" i="65"/>
  <c r="T93" i="65" s="1"/>
  <c r="U54" i="41"/>
  <c r="U58" i="41" s="1"/>
  <c r="X23" i="65"/>
  <c r="X93" i="65" s="1"/>
  <c r="S23" i="65"/>
  <c r="S93" i="65" s="1"/>
  <c r="M23" i="65"/>
  <c r="M93" i="65" s="1"/>
  <c r="J23" i="65"/>
  <c r="J93" i="65" s="1"/>
  <c r="W54" i="41"/>
  <c r="W58" i="41" s="1"/>
  <c r="N23" i="65"/>
  <c r="N93" i="65" s="1"/>
  <c r="P23" i="65"/>
  <c r="P93" i="65" s="1"/>
  <c r="J58" i="41"/>
  <c r="K23" i="65"/>
  <c r="K93" i="65" s="1"/>
  <c r="X54" i="41"/>
  <c r="X58" i="41" s="1"/>
  <c r="N54" i="41"/>
  <c r="N58" i="41" s="1"/>
  <c r="U23" i="65"/>
  <c r="U93" i="65" s="1"/>
  <c r="U104" i="65" s="1"/>
  <c r="L176" i="105"/>
  <c r="L100" i="105"/>
  <c r="S54" i="41"/>
  <c r="S58" i="41" s="1"/>
  <c r="R23" i="65"/>
  <c r="R93" i="65" s="1"/>
  <c r="L110" i="105"/>
  <c r="L187" i="105"/>
  <c r="A4" i="74"/>
  <c r="J51" i="55"/>
  <c r="J104" i="65" l="1"/>
  <c r="J133" i="65" s="1"/>
  <c r="J48" i="105" s="1"/>
  <c r="J87" i="105" s="1"/>
  <c r="J35" i="82"/>
  <c r="M104" i="65"/>
  <c r="M133" i="65" s="1"/>
  <c r="M48" i="105" s="1"/>
  <c r="M87" i="105" s="1"/>
  <c r="M35" i="82"/>
  <c r="K104" i="65"/>
  <c r="K133" i="65" s="1"/>
  <c r="K48" i="105" s="1"/>
  <c r="K87" i="105" s="1"/>
  <c r="K35" i="82"/>
  <c r="S104" i="65"/>
  <c r="S133" i="65" s="1"/>
  <c r="S48" i="105" s="1"/>
  <c r="S87" i="105" s="1"/>
  <c r="S91" i="105" s="1"/>
  <c r="S35" i="82"/>
  <c r="Q104" i="65"/>
  <c r="Q133" i="65" s="1"/>
  <c r="Q48" i="105" s="1"/>
  <c r="Q87" i="105" s="1"/>
  <c r="Q35" i="82"/>
  <c r="V104" i="65"/>
  <c r="V133" i="65" s="1"/>
  <c r="V48" i="105" s="1"/>
  <c r="V87" i="105" s="1"/>
  <c r="V91" i="105" s="1"/>
  <c r="V160" i="105" s="1"/>
  <c r="U35" i="82"/>
  <c r="R104" i="65"/>
  <c r="R133" i="65" s="1"/>
  <c r="R48" i="105" s="1"/>
  <c r="R87" i="105" s="1"/>
  <c r="R91" i="105" s="1"/>
  <c r="R160" i="105" s="1"/>
  <c r="R64" i="82" s="1"/>
  <c r="R35" i="82"/>
  <c r="X104" i="65"/>
  <c r="X133" i="65" s="1"/>
  <c r="X48" i="105" s="1"/>
  <c r="X87" i="105" s="1"/>
  <c r="X91" i="105" s="1"/>
  <c r="X134" i="105" s="1"/>
  <c r="V63" i="82" s="1"/>
  <c r="V35" i="82"/>
  <c r="N104" i="65"/>
  <c r="N35" i="82"/>
  <c r="O104" i="65"/>
  <c r="O133" i="65" s="1"/>
  <c r="O48" i="105" s="1"/>
  <c r="O87" i="105" s="1"/>
  <c r="O35" i="82"/>
  <c r="P104" i="65"/>
  <c r="P133" i="65" s="1"/>
  <c r="P48" i="105" s="1"/>
  <c r="P87" i="105" s="1"/>
  <c r="P35" i="82"/>
  <c r="T104" i="65"/>
  <c r="T133" i="65" s="1"/>
  <c r="T48" i="105" s="1"/>
  <c r="T87" i="105" s="1"/>
  <c r="T91" i="105" s="1"/>
  <c r="T160" i="105" s="1"/>
  <c r="T35" i="82"/>
  <c r="L104" i="65"/>
  <c r="L133" i="65" s="1"/>
  <c r="L48" i="105" s="1"/>
  <c r="L87" i="105" s="1"/>
  <c r="L35" i="82"/>
  <c r="H99" i="105"/>
  <c r="S119" i="41"/>
  <c r="AF119" i="41"/>
  <c r="AI119" i="41"/>
  <c r="AZ119" i="41"/>
  <c r="AU119" i="41"/>
  <c r="AN119" i="41"/>
  <c r="Y119" i="41"/>
  <c r="R119" i="41"/>
  <c r="BA119" i="41"/>
  <c r="Q119" i="41"/>
  <c r="AQ119" i="41"/>
  <c r="M119" i="41"/>
  <c r="BC119" i="41"/>
  <c r="AV119" i="41"/>
  <c r="AG119" i="41"/>
  <c r="Z119" i="41"/>
  <c r="AJ119" i="41"/>
  <c r="AD119" i="41"/>
  <c r="AY119" i="41"/>
  <c r="AS119" i="41"/>
  <c r="AC119" i="41"/>
  <c r="BD119" i="41"/>
  <c r="AO119" i="41"/>
  <c r="AH119" i="41"/>
  <c r="AE119" i="41"/>
  <c r="AR119" i="41"/>
  <c r="K119" i="41"/>
  <c r="AT119" i="41"/>
  <c r="N119" i="41"/>
  <c r="J119" i="41"/>
  <c r="J121" i="41" s="1"/>
  <c r="AW119" i="41"/>
  <c r="AP119" i="41"/>
  <c r="X119" i="41"/>
  <c r="AA119" i="41"/>
  <c r="T119" i="41"/>
  <c r="O119" i="41"/>
  <c r="AL119" i="41"/>
  <c r="AK119" i="41"/>
  <c r="BE119" i="41"/>
  <c r="AX119" i="41"/>
  <c r="BB119" i="41"/>
  <c r="AM119" i="41"/>
  <c r="AB119" i="41"/>
  <c r="W119" i="41"/>
  <c r="P119" i="41"/>
  <c r="V119" i="41"/>
  <c r="U119" i="41"/>
  <c r="L119" i="41"/>
  <c r="J174" i="105"/>
  <c r="J98" i="105"/>
  <c r="H100" i="105"/>
  <c r="Q185" i="105"/>
  <c r="Q108" i="105"/>
  <c r="O108" i="105"/>
  <c r="O185" i="105"/>
  <c r="L174" i="105"/>
  <c r="L98" i="105"/>
  <c r="R113" i="65"/>
  <c r="R142" i="65" s="1"/>
  <c r="R57" i="105" s="1"/>
  <c r="R122" i="65"/>
  <c r="R151" i="65" s="1"/>
  <c r="R66" i="105" s="1"/>
  <c r="M98" i="105"/>
  <c r="M174" i="105"/>
  <c r="P122" i="65"/>
  <c r="P151" i="65" s="1"/>
  <c r="P66" i="105" s="1"/>
  <c r="J122" i="65"/>
  <c r="J151" i="65" s="1"/>
  <c r="J66" i="105" s="1"/>
  <c r="J184" i="105" s="1"/>
  <c r="J113" i="65"/>
  <c r="J142" i="65" s="1"/>
  <c r="J57" i="105" s="1"/>
  <c r="J173" i="105" s="1"/>
  <c r="L122" i="65"/>
  <c r="L151" i="65" s="1"/>
  <c r="L66" i="105" s="1"/>
  <c r="L113" i="65"/>
  <c r="L142" i="65" s="1"/>
  <c r="L57" i="105" s="1"/>
  <c r="L173" i="105" s="1"/>
  <c r="W133" i="65"/>
  <c r="W48" i="105" s="1"/>
  <c r="W87" i="105" s="1"/>
  <c r="W91" i="105" s="1"/>
  <c r="K108" i="105"/>
  <c r="K185" i="105"/>
  <c r="M113" i="65"/>
  <c r="M142" i="65" s="1"/>
  <c r="M57" i="105" s="1"/>
  <c r="M122" i="65"/>
  <c r="M151" i="65" s="1"/>
  <c r="M66" i="105" s="1"/>
  <c r="T122" i="65"/>
  <c r="T151" i="65" s="1"/>
  <c r="T66" i="105" s="1"/>
  <c r="T184" i="105" s="1"/>
  <c r="T188" i="105" s="1"/>
  <c r="T113" i="65"/>
  <c r="T142" i="65" s="1"/>
  <c r="T57" i="105" s="1"/>
  <c r="T97" i="105" s="1"/>
  <c r="T101" i="105" s="1"/>
  <c r="K98" i="105"/>
  <c r="K174" i="105"/>
  <c r="K122" i="65"/>
  <c r="K151" i="65" s="1"/>
  <c r="K66" i="105" s="1"/>
  <c r="K113" i="65"/>
  <c r="K142" i="65" s="1"/>
  <c r="K57" i="105" s="1"/>
  <c r="M108" i="105"/>
  <c r="M185" i="105"/>
  <c r="N133" i="65"/>
  <c r="N48" i="105" s="1"/>
  <c r="N87" i="105" s="1"/>
  <c r="N113" i="65"/>
  <c r="N142" i="65" s="1"/>
  <c r="N57" i="105" s="1"/>
  <c r="N122" i="65"/>
  <c r="N151" i="65" s="1"/>
  <c r="N66" i="105" s="1"/>
  <c r="N184" i="105" s="1"/>
  <c r="S122" i="65"/>
  <c r="S151" i="65" s="1"/>
  <c r="S66" i="105" s="1"/>
  <c r="V122" i="65"/>
  <c r="V151" i="65" s="1"/>
  <c r="V66" i="105" s="1"/>
  <c r="V107" i="105" s="1"/>
  <c r="V111" i="105" s="1"/>
  <c r="Q113" i="65"/>
  <c r="Q142" i="65" s="1"/>
  <c r="Q57" i="105" s="1"/>
  <c r="Q97" i="105" s="1"/>
  <c r="Q122" i="65"/>
  <c r="Q151" i="65" s="1"/>
  <c r="Q66" i="105" s="1"/>
  <c r="O122" i="65"/>
  <c r="O151" i="65" s="1"/>
  <c r="O66" i="105" s="1"/>
  <c r="O184" i="105" s="1"/>
  <c r="U133" i="65"/>
  <c r="U48" i="105" s="1"/>
  <c r="U87" i="105" s="1"/>
  <c r="U91" i="105" s="1"/>
  <c r="X122" i="65"/>
  <c r="X151" i="65" s="1"/>
  <c r="X66" i="105" s="1"/>
  <c r="Y133" i="65"/>
  <c r="Y48" i="105" s="1"/>
  <c r="Y87" i="105" s="1"/>
  <c r="Y91" i="105" s="1"/>
  <c r="P185" i="105"/>
  <c r="H110" i="105"/>
  <c r="H109" i="105"/>
  <c r="J108" i="105"/>
  <c r="N108" i="105"/>
  <c r="L185" i="105"/>
  <c r="Q98" i="105"/>
  <c r="H88" i="105"/>
  <c r="N174" i="105"/>
  <c r="AM110" i="41"/>
  <c r="AD110" i="41"/>
  <c r="W110" i="41"/>
  <c r="AG110" i="41"/>
  <c r="AX110" i="41"/>
  <c r="AF110" i="41"/>
  <c r="AU110" i="41"/>
  <c r="Z110" i="41"/>
  <c r="T110" i="41"/>
  <c r="AT110" i="41"/>
  <c r="M110" i="41"/>
  <c r="U110" i="41"/>
  <c r="AJ110" i="41"/>
  <c r="O110" i="41"/>
  <c r="BA110" i="41"/>
  <c r="AO110" i="41"/>
  <c r="AZ110" i="41"/>
  <c r="AH110" i="41"/>
  <c r="BC110" i="41"/>
  <c r="AN110" i="41"/>
  <c r="AP110" i="41"/>
  <c r="S110" i="41"/>
  <c r="AR110" i="41"/>
  <c r="AV110" i="41"/>
  <c r="K110" i="41"/>
  <c r="R110" i="41"/>
  <c r="AA110" i="41"/>
  <c r="AK110" i="41"/>
  <c r="J110" i="41"/>
  <c r="AC110" i="41"/>
  <c r="AQ110" i="41"/>
  <c r="Q110" i="41"/>
  <c r="N110" i="41"/>
  <c r="AL110" i="41"/>
  <c r="BE110" i="41"/>
  <c r="V110" i="41"/>
  <c r="X110" i="41"/>
  <c r="AW110" i="41"/>
  <c r="BD110" i="41"/>
  <c r="AE110" i="41"/>
  <c r="P110" i="41"/>
  <c r="AI110" i="41"/>
  <c r="AS110" i="41"/>
  <c r="BB110" i="41"/>
  <c r="L110" i="41"/>
  <c r="AY110" i="41"/>
  <c r="AB110" i="41"/>
  <c r="Y110" i="41"/>
  <c r="H58" i="41"/>
  <c r="H60" i="41" s="1"/>
  <c r="H54" i="41"/>
  <c r="S162" i="105" l="1"/>
  <c r="S65" i="82" s="1"/>
  <c r="S134" i="105"/>
  <c r="S63" i="82" s="1"/>
  <c r="S128" i="105"/>
  <c r="S160" i="105"/>
  <c r="S64" i="82" s="1"/>
  <c r="T129" i="105"/>
  <c r="T135" i="105"/>
  <c r="Y162" i="105"/>
  <c r="Y134" i="105"/>
  <c r="Y128" i="105"/>
  <c r="Y160" i="105"/>
  <c r="V130" i="105"/>
  <c r="V136" i="105"/>
  <c r="U162" i="105"/>
  <c r="U134" i="105"/>
  <c r="U128" i="105"/>
  <c r="U160" i="105"/>
  <c r="S107" i="105"/>
  <c r="S111" i="105" s="1"/>
  <c r="S184" i="105"/>
  <c r="S188" i="105" s="1"/>
  <c r="W162" i="105"/>
  <c r="W128" i="105"/>
  <c r="W134" i="105"/>
  <c r="W160" i="105"/>
  <c r="H74" i="105"/>
  <c r="H116" i="105" s="1"/>
  <c r="H90" i="41"/>
  <c r="O107" i="105"/>
  <c r="H98" i="105"/>
  <c r="V128" i="105"/>
  <c r="V194" i="105" s="1"/>
  <c r="V134" i="105"/>
  <c r="U63" i="82" s="1"/>
  <c r="L107" i="105"/>
  <c r="L184" i="105"/>
  <c r="Q184" i="105"/>
  <c r="Q107" i="105"/>
  <c r="X184" i="105"/>
  <c r="X188" i="105" s="1"/>
  <c r="X107" i="105"/>
  <c r="X111" i="105" s="1"/>
  <c r="V162" i="105"/>
  <c r="U65" i="82" s="1"/>
  <c r="P184" i="105"/>
  <c r="P107" i="105"/>
  <c r="M97" i="105"/>
  <c r="M173" i="105"/>
  <c r="R97" i="105"/>
  <c r="R101" i="105" s="1"/>
  <c r="R173" i="105"/>
  <c r="R177" i="105" s="1"/>
  <c r="N173" i="105"/>
  <c r="N97" i="105"/>
  <c r="T134" i="105"/>
  <c r="T63" i="82" s="1"/>
  <c r="T162" i="105"/>
  <c r="T65" i="82" s="1"/>
  <c r="T128" i="105"/>
  <c r="T195" i="105" s="1"/>
  <c r="T74" i="82" s="1"/>
  <c r="K107" i="105"/>
  <c r="K184" i="105"/>
  <c r="R107" i="105"/>
  <c r="R111" i="105" s="1"/>
  <c r="R184" i="105"/>
  <c r="R188" i="105" s="1"/>
  <c r="M107" i="105"/>
  <c r="M184" i="105"/>
  <c r="K97" i="105"/>
  <c r="K173" i="105"/>
  <c r="R162" i="105"/>
  <c r="R65" i="82" s="1"/>
  <c r="R134" i="105"/>
  <c r="R63" i="82" s="1"/>
  <c r="R128" i="105"/>
  <c r="H108" i="105"/>
  <c r="L97" i="105"/>
  <c r="T107" i="105"/>
  <c r="T111" i="105" s="1"/>
  <c r="Q173" i="105"/>
  <c r="J97" i="105"/>
  <c r="T173" i="105"/>
  <c r="T177" i="105" s="1"/>
  <c r="V184" i="105"/>
  <c r="V188" i="105" s="1"/>
  <c r="J107" i="105"/>
  <c r="X128" i="105"/>
  <c r="X160" i="105"/>
  <c r="V64" i="82" s="1"/>
  <c r="X162" i="105"/>
  <c r="V65" i="82" s="1"/>
  <c r="N107" i="105"/>
  <c r="T64" i="82"/>
  <c r="U64" i="82"/>
  <c r="AB111" i="41"/>
  <c r="BD111" i="41"/>
  <c r="AK111" i="41"/>
  <c r="AZ111" i="41"/>
  <c r="AX111" i="41"/>
  <c r="AY111" i="41"/>
  <c r="AI111" i="41"/>
  <c r="AW111" i="41"/>
  <c r="AL111" i="41"/>
  <c r="AQ111" i="41"/>
  <c r="AA111" i="41"/>
  <c r="AR111" i="41"/>
  <c r="AN111" i="41"/>
  <c r="AO111" i="41"/>
  <c r="U111" i="41"/>
  <c r="Z111" i="41"/>
  <c r="AG111" i="41"/>
  <c r="AS111" i="41"/>
  <c r="Q111" i="41"/>
  <c r="AP111" i="41"/>
  <c r="T111" i="41"/>
  <c r="L111" i="41"/>
  <c r="P111" i="41"/>
  <c r="X111" i="41"/>
  <c r="AM111" i="41"/>
  <c r="AC111" i="41"/>
  <c r="R111" i="41"/>
  <c r="J123" i="41"/>
  <c r="H145" i="41"/>
  <c r="BC111" i="41"/>
  <c r="BA111" i="41"/>
  <c r="M111" i="41"/>
  <c r="AU111" i="41"/>
  <c r="W111" i="41"/>
  <c r="BE111" i="41"/>
  <c r="AV111" i="41"/>
  <c r="AJ111" i="41"/>
  <c r="Y111" i="41"/>
  <c r="BB111" i="41"/>
  <c r="AE111" i="41"/>
  <c r="V111" i="41"/>
  <c r="N111" i="41"/>
  <c r="J111" i="41"/>
  <c r="K111" i="41"/>
  <c r="S111" i="41"/>
  <c r="AH111" i="41"/>
  <c r="O111" i="41"/>
  <c r="AT111" i="41"/>
  <c r="AF111" i="41"/>
  <c r="AD111" i="41"/>
  <c r="H87" i="105"/>
  <c r="U195" i="105" l="1"/>
  <c r="U194" i="105"/>
  <c r="S62" i="82"/>
  <c r="S195" i="105"/>
  <c r="S74" i="82" s="1"/>
  <c r="S194" i="105"/>
  <c r="T130" i="105"/>
  <c r="T136" i="105"/>
  <c r="W195" i="105"/>
  <c r="W194" i="105"/>
  <c r="X130" i="105"/>
  <c r="X136" i="105"/>
  <c r="R129" i="105"/>
  <c r="R135" i="105"/>
  <c r="R136" i="105"/>
  <c r="R130" i="105"/>
  <c r="S136" i="105"/>
  <c r="S130" i="105"/>
  <c r="Y195" i="105"/>
  <c r="Y194" i="105"/>
  <c r="V195" i="105"/>
  <c r="U74" i="82" s="1"/>
  <c r="U62" i="82"/>
  <c r="T194" i="105"/>
  <c r="T73" i="82" s="1"/>
  <c r="X195" i="105"/>
  <c r="V74" i="82" s="1"/>
  <c r="T62" i="82"/>
  <c r="R195" i="105"/>
  <c r="R74" i="82" s="1"/>
  <c r="R62" i="82"/>
  <c r="R194" i="105"/>
  <c r="R73" i="82" s="1"/>
  <c r="BE117" i="41"/>
  <c r="BA117" i="41"/>
  <c r="AW117" i="41"/>
  <c r="AS117" i="41"/>
  <c r="AO117" i="41"/>
  <c r="AK117" i="41"/>
  <c r="AG117" i="41"/>
  <c r="AC117" i="41"/>
  <c r="Y117" i="41"/>
  <c r="U117" i="41"/>
  <c r="Q117" i="41"/>
  <c r="M117" i="41"/>
  <c r="BD117" i="41"/>
  <c r="AZ117" i="41"/>
  <c r="AV117" i="41"/>
  <c r="AR117" i="41"/>
  <c r="AN117" i="41"/>
  <c r="AJ117" i="41"/>
  <c r="AF117" i="41"/>
  <c r="AB117" i="41"/>
  <c r="X117" i="41"/>
  <c r="T117" i="41"/>
  <c r="P117" i="41"/>
  <c r="L117" i="41"/>
  <c r="BC117" i="41"/>
  <c r="AY117" i="41"/>
  <c r="AU117" i="41"/>
  <c r="AQ117" i="41"/>
  <c r="AM117" i="41"/>
  <c r="AI117" i="41"/>
  <c r="AE117" i="41"/>
  <c r="AA117" i="41"/>
  <c r="W117" i="41"/>
  <c r="S117" i="41"/>
  <c r="O117" i="41"/>
  <c r="K117" i="41"/>
  <c r="BB117" i="41"/>
  <c r="AX117" i="41"/>
  <c r="AT117" i="41"/>
  <c r="AP117" i="41"/>
  <c r="AL117" i="41"/>
  <c r="AH117" i="41"/>
  <c r="AD117" i="41"/>
  <c r="Z117" i="41"/>
  <c r="V117" i="41"/>
  <c r="R117" i="41"/>
  <c r="N117" i="41"/>
  <c r="H97" i="105"/>
  <c r="X194" i="105"/>
  <c r="V62" i="82"/>
  <c r="H107" i="105"/>
  <c r="J118" i="41"/>
  <c r="J117" i="41"/>
  <c r="K120" i="41" l="1"/>
  <c r="K118" i="41"/>
  <c r="L118" i="41" s="1"/>
  <c r="M118" i="41" s="1"/>
  <c r="N118" i="41" s="1"/>
  <c r="O118" i="41" s="1"/>
  <c r="P118" i="41" s="1"/>
  <c r="Q118" i="41" s="1"/>
  <c r="R118" i="41" s="1"/>
  <c r="S118" i="41" s="1"/>
  <c r="T118" i="41" s="1"/>
  <c r="U118" i="41" s="1"/>
  <c r="V118" i="41" s="1"/>
  <c r="W118" i="41" s="1"/>
  <c r="X118" i="41" s="1"/>
  <c r="Y118" i="41" s="1"/>
  <c r="Z118" i="41" s="1"/>
  <c r="AA118" i="41" s="1"/>
  <c r="AB118" i="41" s="1"/>
  <c r="AC118" i="41" s="1"/>
  <c r="AD118" i="41" s="1"/>
  <c r="AE118" i="41" s="1"/>
  <c r="AF118" i="41" s="1"/>
  <c r="AG118" i="41" s="1"/>
  <c r="AH118" i="41" s="1"/>
  <c r="AI118" i="41" s="1"/>
  <c r="AJ118" i="41" s="1"/>
  <c r="AK118" i="41" s="1"/>
  <c r="AL118" i="41" s="1"/>
  <c r="AM118" i="41" s="1"/>
  <c r="AN118" i="41" s="1"/>
  <c r="AO118" i="41" s="1"/>
  <c r="AP118" i="41" s="1"/>
  <c r="AQ118" i="41" s="1"/>
  <c r="AR118" i="41" s="1"/>
  <c r="AS118" i="41" s="1"/>
  <c r="AT118" i="41" s="1"/>
  <c r="AU118" i="41" s="1"/>
  <c r="AV118" i="41" s="1"/>
  <c r="AW118" i="41" s="1"/>
  <c r="AX118" i="41" s="1"/>
  <c r="AY118" i="41" s="1"/>
  <c r="AZ118" i="41" s="1"/>
  <c r="BA118" i="41" s="1"/>
  <c r="BB118" i="41" s="1"/>
  <c r="BC118" i="41" s="1"/>
  <c r="BD118" i="41" s="1"/>
  <c r="BE118" i="41" s="1"/>
  <c r="L120" i="41" l="1"/>
  <c r="K121" i="41"/>
  <c r="K123" i="41" s="1"/>
  <c r="M120" i="41" l="1"/>
  <c r="L121" i="41"/>
  <c r="L123" i="41" s="1"/>
  <c r="N120" i="41" l="1"/>
  <c r="M121" i="41"/>
  <c r="M123" i="41" s="1"/>
  <c r="O120" i="41" l="1"/>
  <c r="N121" i="41"/>
  <c r="N123" i="41" s="1"/>
  <c r="P120" i="41" l="1"/>
  <c r="O121" i="41"/>
  <c r="O123" i="41" s="1"/>
  <c r="Q120" i="41" l="1"/>
  <c r="P121" i="41"/>
  <c r="P123" i="41" s="1"/>
  <c r="R120" i="41" l="1"/>
  <c r="Q121" i="41"/>
  <c r="Q123" i="41" s="1"/>
  <c r="S120" i="41" l="1"/>
  <c r="R121" i="41"/>
  <c r="R123" i="41" s="1"/>
  <c r="T120" i="41" l="1"/>
  <c r="S121" i="41"/>
  <c r="S123" i="41" s="1"/>
  <c r="U120" i="41" l="1"/>
  <c r="T121" i="41"/>
  <c r="T123" i="41" s="1"/>
  <c r="V120" i="41" l="1"/>
  <c r="U121" i="41"/>
  <c r="U123" i="41" s="1"/>
  <c r="W120" i="41" l="1"/>
  <c r="V121" i="41"/>
  <c r="V123" i="41" s="1"/>
  <c r="X120" i="41" l="1"/>
  <c r="W121" i="41"/>
  <c r="W123" i="41" s="1"/>
  <c r="Y120" i="41" l="1"/>
  <c r="X121" i="41"/>
  <c r="X123" i="41" s="1"/>
  <c r="Z120" i="41" l="1"/>
  <c r="Y121" i="41"/>
  <c r="Y123" i="41" s="1"/>
  <c r="AA120" i="41" l="1"/>
  <c r="Z121" i="41"/>
  <c r="Z123" i="41" s="1"/>
  <c r="AB120" i="41" l="1"/>
  <c r="AA121" i="41"/>
  <c r="AA123" i="41" s="1"/>
  <c r="AC120" i="41" l="1"/>
  <c r="AB121" i="41"/>
  <c r="AB123" i="41" s="1"/>
  <c r="AD120" i="41" l="1"/>
  <c r="AC121" i="41"/>
  <c r="AC123" i="41" s="1"/>
  <c r="AE120" i="41" l="1"/>
  <c r="AD121" i="41"/>
  <c r="AD123" i="41" s="1"/>
  <c r="AF120" i="41" l="1"/>
  <c r="AE121" i="41"/>
  <c r="AE123" i="41" s="1"/>
  <c r="AG120" i="41" l="1"/>
  <c r="AF121" i="41"/>
  <c r="AF123" i="41" s="1"/>
  <c r="AH120" i="41" l="1"/>
  <c r="AG121" i="41"/>
  <c r="AG123" i="41" s="1"/>
  <c r="AI120" i="41" l="1"/>
  <c r="AH121" i="41"/>
  <c r="AH123" i="41" s="1"/>
  <c r="AJ120" i="41" l="1"/>
  <c r="AI121" i="41"/>
  <c r="AI123" i="41" s="1"/>
  <c r="AK120" i="41" l="1"/>
  <c r="AJ121" i="41"/>
  <c r="AJ123" i="41" s="1"/>
  <c r="AL120" i="41" l="1"/>
  <c r="AK121" i="41"/>
  <c r="AK123" i="41" s="1"/>
  <c r="AM120" i="41" l="1"/>
  <c r="AL121" i="41"/>
  <c r="AL123" i="41" s="1"/>
  <c r="AN120" i="41" l="1"/>
  <c r="AM121" i="41"/>
  <c r="AM123" i="41" s="1"/>
  <c r="AO120" i="41" l="1"/>
  <c r="AN121" i="41"/>
  <c r="AN123" i="41" s="1"/>
  <c r="AP120" i="41" l="1"/>
  <c r="AO121" i="41"/>
  <c r="AO123" i="41" s="1"/>
  <c r="AQ120" i="41" l="1"/>
  <c r="AP121" i="41"/>
  <c r="AP123" i="41" s="1"/>
  <c r="AR120" i="41" l="1"/>
  <c r="AQ121" i="41"/>
  <c r="AQ123" i="41" s="1"/>
  <c r="AS120" i="41" l="1"/>
  <c r="AR121" i="41"/>
  <c r="AR123" i="41" s="1"/>
  <c r="AT120" i="41" l="1"/>
  <c r="AS121" i="41"/>
  <c r="AS123" i="41" s="1"/>
  <c r="AU120" i="41" l="1"/>
  <c r="AT121" i="41"/>
  <c r="AT123" i="41" s="1"/>
  <c r="AV120" i="41" l="1"/>
  <c r="AU121" i="41"/>
  <c r="AU123" i="41" s="1"/>
  <c r="AW120" i="41" l="1"/>
  <c r="AV121" i="41"/>
  <c r="AV123" i="41" s="1"/>
  <c r="AX120" i="41" l="1"/>
  <c r="AW121" i="41"/>
  <c r="AW123" i="41" s="1"/>
  <c r="AY120" i="41" l="1"/>
  <c r="AX121" i="41"/>
  <c r="AX123" i="41" s="1"/>
  <c r="AZ120" i="41" l="1"/>
  <c r="AY121" i="41"/>
  <c r="AY123" i="41" s="1"/>
  <c r="BA120" i="41" l="1"/>
  <c r="AZ121" i="41"/>
  <c r="AZ123" i="41" s="1"/>
  <c r="BB120" i="41" l="1"/>
  <c r="BA121" i="41"/>
  <c r="BA123" i="41" s="1"/>
  <c r="BC120" i="41" l="1"/>
  <c r="BB121" i="41"/>
  <c r="BB123" i="41" s="1"/>
  <c r="BD120" i="41" l="1"/>
  <c r="BC121" i="41"/>
  <c r="BC123" i="41" s="1"/>
  <c r="BE120" i="41" l="1"/>
  <c r="BD121" i="41"/>
  <c r="BD123" i="41" s="1"/>
  <c r="BE121" i="41" l="1"/>
  <c r="BE123" i="41" l="1"/>
  <c r="H123" i="41"/>
  <c r="H129" i="41" s="1"/>
  <c r="N140" i="41" l="1"/>
  <c r="N151" i="41" s="1"/>
  <c r="N141" i="41"/>
  <c r="N152" i="41" s="1"/>
  <c r="L139" i="41"/>
  <c r="L150" i="41" s="1"/>
  <c r="P140" i="41"/>
  <c r="P151" i="41" s="1"/>
  <c r="K140" i="41"/>
  <c r="K151" i="41" s="1"/>
  <c r="L141" i="41"/>
  <c r="L152" i="41" s="1"/>
  <c r="Q139" i="41"/>
  <c r="Q150" i="41" s="1"/>
  <c r="Q140" i="41"/>
  <c r="Q151" i="41" s="1"/>
  <c r="J139" i="41"/>
  <c r="J150" i="41" s="1"/>
  <c r="L140" i="41"/>
  <c r="L151" i="41" s="1"/>
  <c r="O140" i="41"/>
  <c r="O151" i="41" s="1"/>
  <c r="J141" i="41"/>
  <c r="J152" i="41" s="1"/>
  <c r="O141" i="41"/>
  <c r="O152" i="41" s="1"/>
  <c r="M139" i="41"/>
  <c r="M150" i="41" s="1"/>
  <c r="M140" i="41"/>
  <c r="M151" i="41" s="1"/>
  <c r="Q141" i="41"/>
  <c r="Q152" i="41" s="1"/>
  <c r="O139" i="41"/>
  <c r="O150" i="41" s="1"/>
  <c r="P141" i="41"/>
  <c r="P152" i="41" s="1"/>
  <c r="K141" i="41"/>
  <c r="K152" i="41" s="1"/>
  <c r="J140" i="41"/>
  <c r="J151" i="41" s="1"/>
  <c r="P139" i="41"/>
  <c r="P150" i="41" s="1"/>
  <c r="M141" i="41"/>
  <c r="M152" i="41" s="1"/>
  <c r="K139" i="41"/>
  <c r="K150" i="41" s="1"/>
  <c r="N139" i="41"/>
  <c r="N150" i="41" s="1"/>
  <c r="J33" i="65" l="1"/>
  <c r="J91" i="65" s="1"/>
  <c r="Q34" i="65"/>
  <c r="Q92" i="65" s="1"/>
  <c r="Q33" i="65"/>
  <c r="Q91" i="65" s="1"/>
  <c r="K32" i="65"/>
  <c r="K90" i="65" s="1"/>
  <c r="M33" i="65"/>
  <c r="M91" i="65" s="1"/>
  <c r="Q32" i="65"/>
  <c r="Q90" i="65" s="1"/>
  <c r="M34" i="65"/>
  <c r="M92" i="65" s="1"/>
  <c r="M32" i="65"/>
  <c r="M90" i="65" s="1"/>
  <c r="L34" i="65"/>
  <c r="L92" i="65" s="1"/>
  <c r="N34" i="65"/>
  <c r="N92" i="65" s="1"/>
  <c r="N32" i="65"/>
  <c r="N90" i="65" s="1"/>
  <c r="J34" i="65"/>
  <c r="J92" i="65" s="1"/>
  <c r="P33" i="65"/>
  <c r="P91" i="65" s="1"/>
  <c r="K34" i="65"/>
  <c r="K92" i="65" s="1"/>
  <c r="O33" i="65"/>
  <c r="O91" i="65" s="1"/>
  <c r="L32" i="65"/>
  <c r="L90" i="65" s="1"/>
  <c r="P34" i="65"/>
  <c r="P92" i="65" s="1"/>
  <c r="L33" i="65"/>
  <c r="L91" i="65" s="1"/>
  <c r="P32" i="65"/>
  <c r="P90" i="65" s="1"/>
  <c r="O32" i="65"/>
  <c r="O90" i="65" s="1"/>
  <c r="O34" i="65"/>
  <c r="O92" i="65" s="1"/>
  <c r="J32" i="65"/>
  <c r="J90" i="65" s="1"/>
  <c r="H147" i="41" a="1"/>
  <c r="H147" i="41" s="1"/>
  <c r="K33" i="65"/>
  <c r="K91" i="65" s="1"/>
  <c r="N33" i="65"/>
  <c r="N91" i="65" s="1"/>
  <c r="M101" i="65" l="1"/>
  <c r="M32" i="82"/>
  <c r="M103" i="65"/>
  <c r="M132" i="65" s="1"/>
  <c r="M47" i="105" s="1"/>
  <c r="M86" i="105" s="1"/>
  <c r="M34" i="82"/>
  <c r="L101" i="65"/>
  <c r="L32" i="82"/>
  <c r="K103" i="65"/>
  <c r="K132" i="65" s="1"/>
  <c r="K47" i="105" s="1"/>
  <c r="K86" i="105" s="1"/>
  <c r="K34" i="82"/>
  <c r="Q101" i="65"/>
  <c r="Q32" i="82"/>
  <c r="J101" i="65"/>
  <c r="J32" i="82"/>
  <c r="O103" i="65"/>
  <c r="O132" i="65" s="1"/>
  <c r="O47" i="105" s="1"/>
  <c r="O86" i="105" s="1"/>
  <c r="O34" i="82"/>
  <c r="P102" i="65"/>
  <c r="P131" i="65" s="1"/>
  <c r="P46" i="105" s="1"/>
  <c r="P85" i="105" s="1"/>
  <c r="P33" i="82"/>
  <c r="M102" i="65"/>
  <c r="M33" i="82"/>
  <c r="J103" i="65"/>
  <c r="J132" i="65" s="1"/>
  <c r="J47" i="105" s="1"/>
  <c r="J86" i="105" s="1"/>
  <c r="J34" i="82"/>
  <c r="K101" i="65"/>
  <c r="K32" i="82"/>
  <c r="K102" i="65"/>
  <c r="K33" i="82"/>
  <c r="O101" i="65"/>
  <c r="O130" i="65" s="1"/>
  <c r="O45" i="105" s="1"/>
  <c r="O84" i="105" s="1"/>
  <c r="O32" i="82"/>
  <c r="Q102" i="65"/>
  <c r="Q33" i="82"/>
  <c r="O102" i="65"/>
  <c r="O131" i="65" s="1"/>
  <c r="O46" i="105" s="1"/>
  <c r="O85" i="105" s="1"/>
  <c r="O33" i="82"/>
  <c r="N101" i="65"/>
  <c r="N32" i="82"/>
  <c r="L102" i="65"/>
  <c r="L33" i="82"/>
  <c r="N103" i="65"/>
  <c r="N132" i="65" s="1"/>
  <c r="N47" i="105" s="1"/>
  <c r="N86" i="105" s="1"/>
  <c r="N34" i="82"/>
  <c r="Q103" i="65"/>
  <c r="Q132" i="65" s="1"/>
  <c r="Q47" i="105" s="1"/>
  <c r="Q86" i="105" s="1"/>
  <c r="Q34" i="82"/>
  <c r="P101" i="65"/>
  <c r="P130" i="65" s="1"/>
  <c r="P45" i="105" s="1"/>
  <c r="P84" i="105" s="1"/>
  <c r="P32" i="82"/>
  <c r="N102" i="65"/>
  <c r="N33" i="82"/>
  <c r="P103" i="65"/>
  <c r="P132" i="65" s="1"/>
  <c r="P47" i="105" s="1"/>
  <c r="P86" i="105" s="1"/>
  <c r="P34" i="82"/>
  <c r="L103" i="65"/>
  <c r="L132" i="65" s="1"/>
  <c r="L47" i="105" s="1"/>
  <c r="L86" i="105" s="1"/>
  <c r="L34" i="82"/>
  <c r="J102" i="65"/>
  <c r="J33" i="82"/>
  <c r="N112" i="65"/>
  <c r="N141" i="65" s="1"/>
  <c r="N56" i="105" s="1"/>
  <c r="N121" i="65"/>
  <c r="N150" i="65" s="1"/>
  <c r="N65" i="105" s="1"/>
  <c r="Q112" i="65"/>
  <c r="Q141" i="65" s="1"/>
  <c r="Q56" i="105" s="1"/>
  <c r="Q121" i="65"/>
  <c r="Q150" i="65" s="1"/>
  <c r="Q65" i="105" s="1"/>
  <c r="O119" i="65"/>
  <c r="O148" i="65" s="1"/>
  <c r="O63" i="105" s="1"/>
  <c r="K121" i="65"/>
  <c r="K150" i="65" s="1"/>
  <c r="K65" i="105" s="1"/>
  <c r="K112" i="65"/>
  <c r="K141" i="65" s="1"/>
  <c r="K56" i="105" s="1"/>
  <c r="J112" i="65"/>
  <c r="J141" i="65" s="1"/>
  <c r="J56" i="105" s="1"/>
  <c r="J121" i="65"/>
  <c r="J150" i="65" s="1"/>
  <c r="J65" i="105" s="1"/>
  <c r="P119" i="65"/>
  <c r="P148" i="65" s="1"/>
  <c r="P63" i="105" s="1"/>
  <c r="L121" i="65"/>
  <c r="L150" i="65" s="1"/>
  <c r="L65" i="105" s="1"/>
  <c r="L112" i="65"/>
  <c r="L141" i="65" s="1"/>
  <c r="L56" i="105" s="1"/>
  <c r="O121" i="65"/>
  <c r="O150" i="65" s="1"/>
  <c r="O65" i="105" s="1"/>
  <c r="P121" i="65"/>
  <c r="P150" i="65" s="1"/>
  <c r="P65" i="105" s="1"/>
  <c r="O120" i="65"/>
  <c r="O149" i="65" s="1"/>
  <c r="O64" i="105" s="1"/>
  <c r="P120" i="65"/>
  <c r="P149" i="65" s="1"/>
  <c r="P64" i="105" s="1"/>
  <c r="M121" i="65"/>
  <c r="M150" i="65" s="1"/>
  <c r="M65" i="105" s="1"/>
  <c r="M112" i="65"/>
  <c r="M141" i="65" s="1"/>
  <c r="M56" i="105" s="1"/>
  <c r="H158" i="41"/>
  <c r="H160" i="41" s="1"/>
  <c r="M96" i="105" l="1"/>
  <c r="M172" i="105"/>
  <c r="M120" i="65"/>
  <c r="M149" i="65" s="1"/>
  <c r="M64" i="105" s="1"/>
  <c r="M131" i="65"/>
  <c r="M46" i="105" s="1"/>
  <c r="M85" i="105" s="1"/>
  <c r="M111" i="65"/>
  <c r="M140" i="65" s="1"/>
  <c r="M55" i="105" s="1"/>
  <c r="K111" i="65"/>
  <c r="K140" i="65" s="1"/>
  <c r="K55" i="105" s="1"/>
  <c r="K131" i="65"/>
  <c r="K46" i="105" s="1"/>
  <c r="K85" i="105" s="1"/>
  <c r="K120" i="65"/>
  <c r="K149" i="65" s="1"/>
  <c r="K64" i="105" s="1"/>
  <c r="L131" i="65"/>
  <c r="L46" i="105" s="1"/>
  <c r="L85" i="105" s="1"/>
  <c r="L120" i="65"/>
  <c r="L149" i="65" s="1"/>
  <c r="L64" i="105" s="1"/>
  <c r="L111" i="65"/>
  <c r="L140" i="65" s="1"/>
  <c r="L55" i="105" s="1"/>
  <c r="L171" i="105" s="1"/>
  <c r="K106" i="105"/>
  <c r="K183" i="105"/>
  <c r="K96" i="105"/>
  <c r="K172" i="105"/>
  <c r="Q120" i="65"/>
  <c r="Q149" i="65" s="1"/>
  <c r="Q64" i="105" s="1"/>
  <c r="Q182" i="105" s="1"/>
  <c r="Q111" i="65"/>
  <c r="Q140" i="65" s="1"/>
  <c r="Q55" i="105" s="1"/>
  <c r="Q95" i="105" s="1"/>
  <c r="Q131" i="65"/>
  <c r="Q46" i="105" s="1"/>
  <c r="Q85" i="105" s="1"/>
  <c r="Q110" i="65"/>
  <c r="Q139" i="65" s="1"/>
  <c r="Q54" i="105" s="1"/>
  <c r="Q170" i="105" s="1"/>
  <c r="Q130" i="65"/>
  <c r="Q45" i="105" s="1"/>
  <c r="Q84" i="105" s="1"/>
  <c r="Q119" i="65"/>
  <c r="Q148" i="65" s="1"/>
  <c r="Q63" i="105" s="1"/>
  <c r="Q181" i="105" s="1"/>
  <c r="N111" i="65"/>
  <c r="N140" i="65" s="1"/>
  <c r="N55" i="105" s="1"/>
  <c r="N171" i="105" s="1"/>
  <c r="N120" i="65"/>
  <c r="N149" i="65" s="1"/>
  <c r="N64" i="105" s="1"/>
  <c r="N105" i="105" s="1"/>
  <c r="N131" i="65"/>
  <c r="N46" i="105" s="1"/>
  <c r="N85" i="105" s="1"/>
  <c r="M106" i="105"/>
  <c r="M183" i="105"/>
  <c r="J119" i="65"/>
  <c r="J148" i="65" s="1"/>
  <c r="J130" i="65"/>
  <c r="J45" i="105" s="1"/>
  <c r="J110" i="65"/>
  <c r="J139" i="65" s="1"/>
  <c r="N110" i="65"/>
  <c r="N139" i="65" s="1"/>
  <c r="N54" i="105" s="1"/>
  <c r="N119" i="65"/>
  <c r="N148" i="65" s="1"/>
  <c r="N63" i="105" s="1"/>
  <c r="N181" i="105" s="1"/>
  <c r="N130" i="65"/>
  <c r="N45" i="105" s="1"/>
  <c r="N84" i="105" s="1"/>
  <c r="M130" i="65"/>
  <c r="M45" i="105" s="1"/>
  <c r="M84" i="105" s="1"/>
  <c r="M110" i="65"/>
  <c r="M139" i="65" s="1"/>
  <c r="M54" i="105" s="1"/>
  <c r="M119" i="65"/>
  <c r="M148" i="65" s="1"/>
  <c r="M63" i="105" s="1"/>
  <c r="J120" i="65"/>
  <c r="J149" i="65" s="1"/>
  <c r="J64" i="105" s="1"/>
  <c r="J105" i="105" s="1"/>
  <c r="J111" i="65"/>
  <c r="J140" i="65" s="1"/>
  <c r="J55" i="105" s="1"/>
  <c r="J171" i="105" s="1"/>
  <c r="J131" i="65"/>
  <c r="J46" i="105" s="1"/>
  <c r="J85" i="105" s="1"/>
  <c r="K119" i="65"/>
  <c r="K148" i="65" s="1"/>
  <c r="K63" i="105" s="1"/>
  <c r="K130" i="65"/>
  <c r="K45" i="105" s="1"/>
  <c r="K84" i="105" s="1"/>
  <c r="K110" i="65"/>
  <c r="K139" i="65" s="1"/>
  <c r="K54" i="105" s="1"/>
  <c r="L119" i="65"/>
  <c r="L148" i="65" s="1"/>
  <c r="L63" i="105" s="1"/>
  <c r="L181" i="105" s="1"/>
  <c r="L130" i="65"/>
  <c r="L45" i="105" s="1"/>
  <c r="L84" i="105" s="1"/>
  <c r="L110" i="65"/>
  <c r="L139" i="65" s="1"/>
  <c r="L54" i="105" s="1"/>
  <c r="L170" i="105" s="1"/>
  <c r="P91" i="105"/>
  <c r="P160" i="105" s="1"/>
  <c r="O182" i="105"/>
  <c r="O105" i="105"/>
  <c r="L172" i="105"/>
  <c r="L96" i="105"/>
  <c r="O181" i="105"/>
  <c r="O104" i="105"/>
  <c r="Q96" i="105"/>
  <c r="Q172" i="105"/>
  <c r="N106" i="105"/>
  <c r="N183" i="105"/>
  <c r="H162" i="41"/>
  <c r="H75" i="105"/>
  <c r="H117" i="105" s="1"/>
  <c r="O183" i="105"/>
  <c r="O106" i="105"/>
  <c r="P181" i="105"/>
  <c r="P104" i="105"/>
  <c r="J172" i="105"/>
  <c r="J96" i="105"/>
  <c r="P105" i="105"/>
  <c r="P182" i="105"/>
  <c r="H86" i="105"/>
  <c r="J183" i="105"/>
  <c r="J106" i="105"/>
  <c r="Q106" i="105"/>
  <c r="Q183" i="105"/>
  <c r="P106" i="105"/>
  <c r="P183" i="105"/>
  <c r="L183" i="105"/>
  <c r="L106" i="105"/>
  <c r="O91" i="105"/>
  <c r="N172" i="105"/>
  <c r="N96" i="105"/>
  <c r="Q104" i="105" l="1"/>
  <c r="L95" i="105"/>
  <c r="N91" i="105"/>
  <c r="N128" i="105" s="1"/>
  <c r="Q171" i="105"/>
  <c r="Q177" i="105" s="1"/>
  <c r="J95" i="105"/>
  <c r="L91" i="105"/>
  <c r="L128" i="105" s="1"/>
  <c r="L62" i="82" s="1"/>
  <c r="N95" i="105"/>
  <c r="Q94" i="105"/>
  <c r="Q101" i="105" s="1"/>
  <c r="Q91" i="105"/>
  <c r="Q128" i="105" s="1"/>
  <c r="L104" i="105"/>
  <c r="K91" i="105"/>
  <c r="M91" i="105"/>
  <c r="N104" i="105"/>
  <c r="N111" i="105" s="1"/>
  <c r="N182" i="105"/>
  <c r="N188" i="105" s="1"/>
  <c r="H85" i="105"/>
  <c r="Q105" i="105"/>
  <c r="L94" i="105"/>
  <c r="J182" i="105"/>
  <c r="J16" i="106" a="1"/>
  <c r="J31" i="106" s="1"/>
  <c r="M94" i="105"/>
  <c r="M170" i="105"/>
  <c r="L105" i="105"/>
  <c r="L182" i="105"/>
  <c r="L188" i="105" s="1"/>
  <c r="K95" i="105"/>
  <c r="K171" i="105"/>
  <c r="N170" i="105"/>
  <c r="N177" i="105" s="1"/>
  <c r="N94" i="105"/>
  <c r="M95" i="105"/>
  <c r="M171" i="105"/>
  <c r="K104" i="105"/>
  <c r="K181" i="105"/>
  <c r="M104" i="105"/>
  <c r="M181" i="105"/>
  <c r="M105" i="105"/>
  <c r="M182" i="105"/>
  <c r="K94" i="105"/>
  <c r="K170" i="105"/>
  <c r="K105" i="105"/>
  <c r="K182" i="105"/>
  <c r="L160" i="105"/>
  <c r="L64" i="82" s="1"/>
  <c r="P162" i="105"/>
  <c r="P65" i="82" s="1"/>
  <c r="P128" i="105"/>
  <c r="P62" i="82" s="1"/>
  <c r="P134" i="105"/>
  <c r="P63" i="82" s="1"/>
  <c r="P64" i="82"/>
  <c r="P111" i="105"/>
  <c r="P130" i="105" s="1"/>
  <c r="P188" i="105"/>
  <c r="O111" i="105"/>
  <c r="O136" i="105" s="1"/>
  <c r="J84" i="105"/>
  <c r="H96" i="105"/>
  <c r="H106" i="105"/>
  <c r="Q188" i="105"/>
  <c r="J63" i="105"/>
  <c r="J52" i="106" a="1"/>
  <c r="O188" i="105"/>
  <c r="L177" i="105"/>
  <c r="O134" i="105"/>
  <c r="O128" i="105"/>
  <c r="O160" i="105"/>
  <c r="O162" i="105"/>
  <c r="J54" i="105"/>
  <c r="J34" i="106" a="1"/>
  <c r="H158" i="65" a="1"/>
  <c r="H158" i="65" s="1"/>
  <c r="J52" i="55"/>
  <c r="A4" i="41"/>
  <c r="N101" i="105" l="1"/>
  <c r="N135" i="105" s="1"/>
  <c r="L101" i="105"/>
  <c r="L135" i="105" s="1"/>
  <c r="N162" i="105"/>
  <c r="N65" i="82" s="1"/>
  <c r="Q111" i="105"/>
  <c r="Q136" i="105" s="1"/>
  <c r="L194" i="105"/>
  <c r="L73" i="82" s="1"/>
  <c r="L134" i="105"/>
  <c r="L63" i="82" s="1"/>
  <c r="L162" i="105"/>
  <c r="L65" i="82" s="1"/>
  <c r="L195" i="105"/>
  <c r="L74" i="82" s="1"/>
  <c r="N134" i="105"/>
  <c r="N63" i="82" s="1"/>
  <c r="N160" i="105"/>
  <c r="N64" i="82" s="1"/>
  <c r="Q135" i="105"/>
  <c r="Q129" i="105"/>
  <c r="Q160" i="105"/>
  <c r="Q64" i="82" s="1"/>
  <c r="M128" i="105"/>
  <c r="M62" i="82" s="1"/>
  <c r="M160" i="105"/>
  <c r="M64" i="82" s="1"/>
  <c r="Q134" i="105"/>
  <c r="Q63" i="82" s="1"/>
  <c r="K162" i="105"/>
  <c r="K65" i="82" s="1"/>
  <c r="K160" i="105"/>
  <c r="K64" i="82" s="1"/>
  <c r="Q162" i="105"/>
  <c r="Q65" i="82" s="1"/>
  <c r="K177" i="105"/>
  <c r="K134" i="105"/>
  <c r="K63" i="82" s="1"/>
  <c r="L111" i="105"/>
  <c r="L136" i="105" s="1"/>
  <c r="K128" i="105"/>
  <c r="K62" i="82" s="1"/>
  <c r="M134" i="105"/>
  <c r="M63" i="82" s="1"/>
  <c r="H95" i="105"/>
  <c r="K188" i="105"/>
  <c r="M162" i="105"/>
  <c r="M65" i="82" s="1"/>
  <c r="K101" i="105"/>
  <c r="H105" i="105"/>
  <c r="K111" i="105"/>
  <c r="M188" i="105"/>
  <c r="M177" i="105"/>
  <c r="M111" i="105"/>
  <c r="M101" i="105"/>
  <c r="J20" i="106"/>
  <c r="J17" i="106"/>
  <c r="K25" i="106"/>
  <c r="P21" i="106"/>
  <c r="M23" i="106"/>
  <c r="O31" i="106"/>
  <c r="O18" i="106"/>
  <c r="J29" i="106"/>
  <c r="J18" i="106"/>
  <c r="N21" i="106"/>
  <c r="P31" i="106"/>
  <c r="K30" i="106"/>
  <c r="L31" i="106"/>
  <c r="L29" i="106"/>
  <c r="M25" i="106"/>
  <c r="O27" i="106"/>
  <c r="M31" i="106"/>
  <c r="M22" i="106"/>
  <c r="P29" i="106"/>
  <c r="P16" i="106"/>
  <c r="N25" i="106"/>
  <c r="N17" i="106"/>
  <c r="J19" i="106"/>
  <c r="K26" i="106"/>
  <c r="P30" i="106"/>
  <c r="N22" i="106"/>
  <c r="P20" i="106"/>
  <c r="O20" i="106"/>
  <c r="N19" i="106"/>
  <c r="L16" i="106"/>
  <c r="M20" i="106"/>
  <c r="M29" i="106"/>
  <c r="N28" i="106"/>
  <c r="P28" i="106"/>
  <c r="N20" i="106"/>
  <c r="K17" i="106"/>
  <c r="J16" i="106"/>
  <c r="L22" i="106"/>
  <c r="K18" i="106"/>
  <c r="L21" i="106"/>
  <c r="M16" i="106"/>
  <c r="L19" i="106"/>
  <c r="J23" i="106"/>
  <c r="J21" i="106"/>
  <c r="K31" i="106"/>
  <c r="O19" i="106"/>
  <c r="L28" i="106"/>
  <c r="K16" i="106"/>
  <c r="L20" i="106"/>
  <c r="M27" i="106"/>
  <c r="O22" i="106"/>
  <c r="K20" i="106"/>
  <c r="M24" i="106"/>
  <c r="L17" i="106"/>
  <c r="O28" i="106"/>
  <c r="M30" i="106"/>
  <c r="P27" i="106"/>
  <c r="J22" i="106"/>
  <c r="M26" i="106"/>
  <c r="K27" i="106"/>
  <c r="N30" i="106"/>
  <c r="O25" i="106"/>
  <c r="N23" i="106"/>
  <c r="O23" i="106"/>
  <c r="K24" i="106"/>
  <c r="P19" i="106"/>
  <c r="J25" i="106"/>
  <c r="J27" i="106"/>
  <c r="M17" i="106"/>
  <c r="L23" i="106"/>
  <c r="O24" i="106"/>
  <c r="O26" i="106"/>
  <c r="P25" i="106"/>
  <c r="K19" i="106"/>
  <c r="N29" i="106"/>
  <c r="P22" i="106"/>
  <c r="K22" i="106"/>
  <c r="P26" i="106"/>
  <c r="J30" i="106"/>
  <c r="L30" i="106"/>
  <c r="P23" i="106"/>
  <c r="J28" i="106"/>
  <c r="M19" i="106"/>
  <c r="N18" i="106"/>
  <c r="M28" i="106"/>
  <c r="L25" i="106"/>
  <c r="N27" i="106"/>
  <c r="N16" i="106"/>
  <c r="K29" i="106"/>
  <c r="N24" i="106"/>
  <c r="L27" i="106"/>
  <c r="N31" i="106"/>
  <c r="L24" i="106"/>
  <c r="P17" i="106"/>
  <c r="L26" i="106"/>
  <c r="O30" i="106"/>
  <c r="O17" i="106"/>
  <c r="K28" i="106"/>
  <c r="O16" i="106"/>
  <c r="O29" i="106"/>
  <c r="P24" i="106"/>
  <c r="K23" i="106"/>
  <c r="J24" i="106"/>
  <c r="M21" i="106"/>
  <c r="L18" i="106"/>
  <c r="K21" i="106"/>
  <c r="O21" i="106"/>
  <c r="P18" i="106"/>
  <c r="M18" i="106"/>
  <c r="J26" i="106"/>
  <c r="N26" i="106"/>
  <c r="Q130" i="105"/>
  <c r="P136" i="105"/>
  <c r="P194" i="105"/>
  <c r="P195" i="105"/>
  <c r="P74" i="82" s="1"/>
  <c r="O130" i="105"/>
  <c r="O63" i="82"/>
  <c r="O65" i="82"/>
  <c r="O64" i="82"/>
  <c r="J170" i="105"/>
  <c r="J177" i="105" s="1"/>
  <c r="J94" i="105"/>
  <c r="O194" i="105"/>
  <c r="O62" i="82"/>
  <c r="O195" i="105"/>
  <c r="N136" i="105"/>
  <c r="N130" i="105"/>
  <c r="J91" i="105"/>
  <c r="H84" i="105"/>
  <c r="H91" i="105" s="1"/>
  <c r="A4" i="65"/>
  <c r="J54" i="55"/>
  <c r="J55" i="106"/>
  <c r="K61" i="106"/>
  <c r="P67" i="106"/>
  <c r="N62" i="106"/>
  <c r="P52" i="106"/>
  <c r="P60" i="106"/>
  <c r="M62" i="106"/>
  <c r="K67" i="106"/>
  <c r="N61" i="106"/>
  <c r="O53" i="106"/>
  <c r="O55" i="106"/>
  <c r="J66" i="106"/>
  <c r="L58" i="106"/>
  <c r="L61" i="106"/>
  <c r="J62" i="106"/>
  <c r="P61" i="106"/>
  <c r="J61" i="106"/>
  <c r="N53" i="106"/>
  <c r="L62" i="106"/>
  <c r="M52" i="106"/>
  <c r="P55" i="106"/>
  <c r="K54" i="106"/>
  <c r="K53" i="106"/>
  <c r="L65" i="106"/>
  <c r="O57" i="106"/>
  <c r="O65" i="106"/>
  <c r="P64" i="106"/>
  <c r="N56" i="106"/>
  <c r="M60" i="106"/>
  <c r="L63" i="106"/>
  <c r="K59" i="106"/>
  <c r="L64" i="106"/>
  <c r="L56" i="106"/>
  <c r="M61" i="106"/>
  <c r="M59" i="106"/>
  <c r="M54" i="106"/>
  <c r="P54" i="106"/>
  <c r="O66" i="106"/>
  <c r="K60" i="106"/>
  <c r="M57" i="106"/>
  <c r="L57" i="106"/>
  <c r="M53" i="106"/>
  <c r="O64" i="106"/>
  <c r="K66" i="106"/>
  <c r="N63" i="106"/>
  <c r="L53" i="106"/>
  <c r="K62" i="106"/>
  <c r="L67" i="106"/>
  <c r="P66" i="106"/>
  <c r="M64" i="106"/>
  <c r="K65" i="106"/>
  <c r="J67" i="106"/>
  <c r="N54" i="106"/>
  <c r="N67" i="106"/>
  <c r="M63" i="106"/>
  <c r="M58" i="106"/>
  <c r="K63" i="106"/>
  <c r="O62" i="106"/>
  <c r="K52" i="106"/>
  <c r="P57" i="106"/>
  <c r="J65" i="106"/>
  <c r="L59" i="106"/>
  <c r="L54" i="106"/>
  <c r="M65" i="106"/>
  <c r="K58" i="106"/>
  <c r="L55" i="106"/>
  <c r="L66" i="106"/>
  <c r="J57" i="106"/>
  <c r="K56" i="106"/>
  <c r="M56" i="106"/>
  <c r="J58" i="106"/>
  <c r="J52" i="106"/>
  <c r="O54" i="106"/>
  <c r="P65" i="106"/>
  <c r="K55" i="106"/>
  <c r="O52" i="106"/>
  <c r="L52" i="106"/>
  <c r="N64" i="106"/>
  <c r="N66" i="106"/>
  <c r="K57" i="106"/>
  <c r="J59" i="106"/>
  <c r="O59" i="106"/>
  <c r="P58" i="106"/>
  <c r="P62" i="106"/>
  <c r="P56" i="106"/>
  <c r="M67" i="106"/>
  <c r="N59" i="106"/>
  <c r="O60" i="106"/>
  <c r="O61" i="106"/>
  <c r="K64" i="106"/>
  <c r="N55" i="106"/>
  <c r="J63" i="106"/>
  <c r="J53" i="106"/>
  <c r="O58" i="106"/>
  <c r="M55" i="106"/>
  <c r="P53" i="106"/>
  <c r="J60" i="106"/>
  <c r="P63" i="106"/>
  <c r="N60" i="106"/>
  <c r="J64" i="106"/>
  <c r="J54" i="106"/>
  <c r="L60" i="106"/>
  <c r="N65" i="106"/>
  <c r="O67" i="106"/>
  <c r="N57" i="106"/>
  <c r="J56" i="106"/>
  <c r="O63" i="106"/>
  <c r="O56" i="106"/>
  <c r="M66" i="106"/>
  <c r="P59" i="106"/>
  <c r="N52" i="106"/>
  <c r="N58" i="106"/>
  <c r="Q195" i="105"/>
  <c r="Q62" i="82"/>
  <c r="Q194" i="105"/>
  <c r="P48" i="106"/>
  <c r="K40" i="106"/>
  <c r="M49" i="106"/>
  <c r="O41" i="106"/>
  <c r="K46" i="106"/>
  <c r="L40" i="106"/>
  <c r="K36" i="106"/>
  <c r="J36" i="106"/>
  <c r="P45" i="106"/>
  <c r="O36" i="106"/>
  <c r="J47" i="106"/>
  <c r="M48" i="106"/>
  <c r="N42" i="106"/>
  <c r="M47" i="106"/>
  <c r="J37" i="106"/>
  <c r="N48" i="106"/>
  <c r="O35" i="106"/>
  <c r="N46" i="106"/>
  <c r="K47" i="106"/>
  <c r="N43" i="106"/>
  <c r="K44" i="106"/>
  <c r="O43" i="106"/>
  <c r="M45" i="106"/>
  <c r="J44" i="106"/>
  <c r="J40" i="106"/>
  <c r="O40" i="106"/>
  <c r="K37" i="106"/>
  <c r="O44" i="106"/>
  <c r="N38" i="106"/>
  <c r="L45" i="106"/>
  <c r="K39" i="106"/>
  <c r="M46" i="106"/>
  <c r="N39" i="106"/>
  <c r="N44" i="106"/>
  <c r="M44" i="106"/>
  <c r="P40" i="106"/>
  <c r="P49" i="106"/>
  <c r="M41" i="106"/>
  <c r="O34" i="106"/>
  <c r="O42" i="106"/>
  <c r="P46" i="106"/>
  <c r="J49" i="106"/>
  <c r="K43" i="106"/>
  <c r="P44" i="106"/>
  <c r="N40" i="106"/>
  <c r="K45" i="106"/>
  <c r="N35" i="106"/>
  <c r="J38" i="106"/>
  <c r="J48" i="106"/>
  <c r="O37" i="106"/>
  <c r="K49" i="106"/>
  <c r="J35" i="106"/>
  <c r="P35" i="106"/>
  <c r="O47" i="106"/>
  <c r="L38" i="106"/>
  <c r="J45" i="106"/>
  <c r="L41" i="106"/>
  <c r="N45" i="106"/>
  <c r="O39" i="106"/>
  <c r="N47" i="106"/>
  <c r="M43" i="106"/>
  <c r="L39" i="106"/>
  <c r="L47" i="106"/>
  <c r="O46" i="106"/>
  <c r="P47" i="106"/>
  <c r="J42" i="106"/>
  <c r="M35" i="106"/>
  <c r="J46" i="106"/>
  <c r="O49" i="106"/>
  <c r="N34" i="106"/>
  <c r="L44" i="106"/>
  <c r="L48" i="106"/>
  <c r="M39" i="106"/>
  <c r="J41" i="106"/>
  <c r="N41" i="106"/>
  <c r="N49" i="106"/>
  <c r="P39" i="106"/>
  <c r="M36" i="106"/>
  <c r="L49" i="106"/>
  <c r="L35" i="106"/>
  <c r="M37" i="106"/>
  <c r="M40" i="106"/>
  <c r="P37" i="106"/>
  <c r="K34" i="106"/>
  <c r="K38" i="106"/>
  <c r="M34" i="106"/>
  <c r="O45" i="106"/>
  <c r="K48" i="106"/>
  <c r="M38" i="106"/>
  <c r="J34" i="106"/>
  <c r="K42" i="106"/>
  <c r="J43" i="106"/>
  <c r="L43" i="106"/>
  <c r="P41" i="106"/>
  <c r="O48" i="106"/>
  <c r="L36" i="106"/>
  <c r="L34" i="106"/>
  <c r="P42" i="106"/>
  <c r="O38" i="106"/>
  <c r="L46" i="106"/>
  <c r="J39" i="106"/>
  <c r="P36" i="106"/>
  <c r="K35" i="106"/>
  <c r="M42" i="106"/>
  <c r="P43" i="106"/>
  <c r="P38" i="106"/>
  <c r="K41" i="106"/>
  <c r="N37" i="106"/>
  <c r="P34" i="106"/>
  <c r="N36" i="106"/>
  <c r="L37" i="106"/>
  <c r="L42" i="106"/>
  <c r="N62" i="82"/>
  <c r="N195" i="105"/>
  <c r="N194" i="105"/>
  <c r="J181" i="105"/>
  <c r="J188" i="105" s="1"/>
  <c r="J104" i="105"/>
  <c r="N129" i="105" l="1"/>
  <c r="L129" i="105"/>
  <c r="M194" i="105"/>
  <c r="M73" i="82" s="1"/>
  <c r="M195" i="105"/>
  <c r="M74" i="82" s="1"/>
  <c r="M130" i="105"/>
  <c r="M136" i="105"/>
  <c r="K130" i="105"/>
  <c r="K136" i="105"/>
  <c r="M135" i="105"/>
  <c r="M129" i="105"/>
  <c r="K135" i="105"/>
  <c r="K129" i="105"/>
  <c r="K194" i="105"/>
  <c r="K73" i="82" s="1"/>
  <c r="L130" i="105"/>
  <c r="K195" i="105"/>
  <c r="K74" i="82" s="1"/>
  <c r="H71" i="106" a="1"/>
  <c r="H71" i="106" s="1"/>
  <c r="J56" i="55" s="1"/>
  <c r="Q74" i="82"/>
  <c r="N74" i="82"/>
  <c r="Q73" i="82"/>
  <c r="O74" i="82"/>
  <c r="N73" i="82"/>
  <c r="H94" i="105"/>
  <c r="J101" i="105"/>
  <c r="H104" i="105"/>
  <c r="H111" i="105" s="1"/>
  <c r="J111" i="105"/>
  <c r="J160" i="105"/>
  <c r="J162" i="105"/>
  <c r="J134" i="105"/>
  <c r="J128" i="105"/>
  <c r="A4" i="106" l="1"/>
  <c r="J65" i="82"/>
  <c r="J64" i="82"/>
  <c r="J63" i="82"/>
  <c r="J195" i="105"/>
  <c r="J62" i="82"/>
  <c r="J194" i="105"/>
  <c r="J136" i="105"/>
  <c r="J130" i="105"/>
  <c r="J135" i="105"/>
  <c r="J129" i="105"/>
  <c r="H101" i="105"/>
  <c r="H120" i="105" l="1"/>
  <c r="H121" i="105" s="1"/>
  <c r="J74" i="82"/>
  <c r="J73" i="82"/>
  <c r="H123" i="105" l="1"/>
  <c r="H124" i="105"/>
  <c r="H199" i="105" a="1"/>
  <c r="H199" i="105" s="1"/>
  <c r="J55" i="55" s="1"/>
  <c r="H78" i="82" a="1"/>
  <c r="H78" i="82" s="1"/>
  <c r="J57" i="55" s="1"/>
  <c r="A4" i="105" l="1"/>
  <c r="J58" i="55"/>
  <c r="A4" i="55" s="1"/>
  <c r="A4" i="82"/>
</calcChain>
</file>

<file path=xl/sharedStrings.xml><?xml version="1.0" encoding="utf-8"?>
<sst xmlns="http://schemas.openxmlformats.org/spreadsheetml/2006/main" count="5985" uniqueCount="1076">
  <si>
    <t>CDCM charging model</t>
  </si>
  <si>
    <t>DISCLAIMER</t>
  </si>
  <si>
    <t>© All rights reserved by Cambridge Economic Policy Associates Ltd (CEPA) and TNEI Services Ltd (TNEI).</t>
  </si>
  <si>
    <t>Charging year:</t>
  </si>
  <si>
    <t>DNO name:</t>
  </si>
  <si>
    <t>Data version:</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</si>
  <si>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</si>
  <si>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</si>
  <si>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</si>
  <si>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</si>
  <si>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</si>
  <si>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</si>
  <si>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</si>
  <si>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</si>
  <si>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</si>
  <si>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</si>
  <si>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</si>
  <si>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</si>
  <si>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</si>
  <si>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</si>
  <si>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</si>
  <si>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</si>
  <si>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</si>
  <si>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</si>
  <si>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</si>
  <si>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</si>
  <si>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</si>
  <si>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</si>
  <si>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</si>
  <si>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</si>
  <si>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</si>
  <si>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</si>
  <si>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</si>
  <si>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</si>
  <si>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</si>
  <si>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</si>
  <si>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</si>
  <si>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</si>
  <si>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</si>
  <si>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</si>
  <si>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</si>
  <si>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</si>
  <si>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</si>
  <si>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</si>
  <si>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</si>
  <si>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</si>
  <si>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</si>
  <si>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</si>
  <si>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</si>
  <si>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</si>
  <si>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</si>
  <si>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</si>
  <si>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</si>
  <si>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</si>
  <si>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</si>
  <si>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</si>
  <si>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</si>
  <si>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</si>
  <si>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</si>
  <si>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</si>
  <si>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</si>
  <si>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</si>
  <si>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</si>
  <si>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</si>
  <si>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</si>
  <si>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</si>
  <si>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</si>
  <si>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</si>
  <si>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</si>
  <si>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</si>
  <si>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</si>
  <si>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</si>
  <si>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</si>
  <si>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</si>
  <si>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</si>
  <si>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</si>
  <si>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</si>
  <si>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</si>
  <si>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</si>
  <si>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</si>
  <si>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</si>
  <si>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</si>
  <si>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</si>
  <si>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</si>
  <si>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</si>
  <si>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</si>
  <si>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</si>
  <si>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</si>
  <si>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</si>
  <si>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</si>
  <si>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</si>
  <si>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</si>
  <si>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</si>
  <si>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</si>
  <si>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</si>
  <si>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</si>
  <si>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</si>
  <si>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</si>
  <si>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</si>
  <si>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</si>
  <si>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</si>
  <si>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</si>
  <si>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</si>
  <si>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</si>
  <si>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</si>
  <si>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</si>
  <si>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</si>
  <si>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</si>
  <si>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</si>
  <si>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</si>
  <si>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</si>
  <si>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</si>
  <si>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</si>
  <si>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</si>
  <si>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</si>
  <si>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</si>
  <si>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</si>
  <si>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</si>
  <si>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</si>
  <si>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</si>
  <si>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</si>
  <si>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</si>
  <si>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</si>
  <si>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</si>
  <si>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</si>
  <si>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</si>
  <si>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</si>
  <si>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</si>
  <si>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</si>
  <si>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</si>
  <si>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</si>
  <si>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</si>
  <si>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</si>
  <si>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</si>
  <si>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</si>
  <si>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</si>
  <si>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</si>
  <si>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</si>
  <si>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</si>
  <si>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</si>
  <si>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</si>
  <si>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</si>
  <si>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</si>
  <si>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</si>
  <si>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</si>
  <si>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</si>
  <si>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</si>
  <si>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</si>
  <si>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</si>
  <si>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</si>
  <si>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</si>
  <si>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</si>
  <si>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</si>
  <si>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</si>
  <si>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</si>
  <si>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</si>
  <si>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</si>
  <si>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</si>
  <si>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</si>
  <si>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</si>
  <si>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</si>
  <si>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</si>
  <si>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</si>
  <si>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</si>
  <si>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</si>
  <si>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</si>
  <si>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</si>
  <si>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</si>
  <si>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</si>
  <si>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</si>
  <si>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</si>
  <si>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</si>
  <si>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</si>
  <si>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</si>
  <si>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</si>
  <si>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</si>
  <si>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</si>
  <si>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</si>
  <si>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</si>
  <si>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</si>
  <si>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</si>
  <si>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</si>
  <si>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</si>
  <si>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</si>
  <si>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</si>
  <si>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</si>
  <si>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</si>
  <si>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</si>
  <si>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</si>
  <si>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</si>
  <si>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</si>
  <si>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</si>
  <si>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</si>
  <si>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</si>
  <si>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</si>
  <si>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</si>
  <si>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</si>
  <si>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</si>
  <si>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</si>
  <si>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</si>
  <si>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</si>
  <si>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</si>
  <si>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</si>
  <si>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</si>
  <si>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</si>
  <si>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</si>
  <si>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</si>
  <si>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</si>
  <si>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</si>
  <si>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</si>
  <si>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</si>
  <si>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</si>
  <si>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</si>
  <si>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</si>
  <si>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</si>
  <si>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</si>
  <si>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</si>
  <si>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</si>
  <si>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</si>
  <si>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</si>
  <si>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</si>
  <si>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</si>
  <si>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</si>
  <si>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</si>
  <si>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</si>
  <si>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</si>
  <si>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</si>
  <si>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</si>
  <si>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</si>
  <si>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</si>
  <si>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</si>
  <si>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</si>
  <si>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</si>
  <si>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</si>
  <si>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</si>
  <si>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</si>
  <si>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</si>
  <si>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</si>
  <si>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</si>
  <si>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</si>
  <si>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</si>
  <si>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</si>
  <si>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</si>
  <si>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</si>
  <si>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</si>
  <si>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</si>
  <si>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</si>
  <si>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</si>
  <si>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</si>
  <si>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</si>
  <si>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</si>
  <si>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</si>
  <si>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</si>
  <si>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</si>
  <si>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</si>
  <si>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</si>
  <si>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</si>
  <si>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</si>
  <si>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</si>
  <si>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</si>
  <si>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</si>
  <si>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</si>
  <si>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</si>
  <si>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</si>
  <si>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</si>
  <si>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</si>
  <si>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</si>
  <si>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</si>
  <si>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</si>
  <si>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</si>
  <si>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</si>
  <si>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</si>
  <si>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</si>
  <si>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</si>
  <si>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</si>
  <si>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</si>
  <si>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</si>
  <si>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</si>
  <si>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</si>
  <si>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</si>
  <si>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</si>
  <si>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</si>
  <si>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</si>
  <si>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</si>
  <si>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</si>
  <si>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</si>
  <si>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</si>
  <si>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</si>
  <si>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</si>
  <si>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</si>
  <si>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</si>
  <si>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</si>
  <si>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</si>
  <si>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</si>
  <si>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</si>
  <si>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</si>
  <si>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</si>
  <si>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</si>
  <si>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</si>
  <si>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</si>
  <si>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</si>
  <si>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</si>
  <si>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</si>
  <si>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</si>
  <si>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</si>
  <si>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</si>
  <si>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</si>
  <si>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</si>
  <si>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</si>
  <si>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</si>
  <si>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</si>
  <si>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Paragraph 54 and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</si>
  <si>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</si>
  <si>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</si>
  <si>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</si>
  <si>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</si>
  <si>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</si>
  <si>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</si>
  <si>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</si>
  <si>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</si>
  <si>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</si>
  <si>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</si>
  <si>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</si>
  <si>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</si>
  <si>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</si>
  <si>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</si>
  <si>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</si>
  <si>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</si>
  <si>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</si>
  <si>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</si>
  <si>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</si>
  <si>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</si>
  <si>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</si>
  <si>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</si>
  <si>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</si>
  <si>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</si>
  <si>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</si>
  <si>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</si>
  <si>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</si>
  <si>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</si>
  <si>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</si>
  <si>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</si>
  <si>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</si>
  <si>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</si>
  <si>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</si>
  <si>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</si>
  <si>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</si>
  <si>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</si>
  <si>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</si>
  <si>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</si>
  <si>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</si>
  <si>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</si>
  <si>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</si>
  <si>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</si>
  <si>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</si>
  <si>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</si>
  <si>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</si>
  <si>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</si>
  <si>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</si>
  <si>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</si>
  <si>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</si>
  <si>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</si>
  <si>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</si>
  <si>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</si>
  <si>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</si>
  <si>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</si>
  <si>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</si>
  <si>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</si>
  <si>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</si>
  <si>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</si>
  <si>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</si>
  <si>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</si>
  <si>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</si>
  <si>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</si>
  <si>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</si>
  <si>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</si>
  <si>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</si>
  <si>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</si>
  <si>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</si>
  <si>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</si>
  <si>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</si>
  <si>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</si>
  <si>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</si>
  <si>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</si>
  <si>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</si>
  <si>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</si>
  <si>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</si>
  <si>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</si>
  <si>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</si>
  <si>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</si>
  <si>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</si>
  <si>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</si>
  <si>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</si>
  <si>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</si>
  <si>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</si>
  <si>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</si>
  <si>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</si>
  <si>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</si>
  <si>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</si>
  <si>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</si>
  <si>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</si>
  <si>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</si>
  <si>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</si>
  <si>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</si>
  <si>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</si>
  <si>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</si>
  <si>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</si>
  <si>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</si>
  <si>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</si>
  <si>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</si>
  <si>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</si>
  <si>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</si>
  <si>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</si>
  <si>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</si>
  <si>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</si>
  <si>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</si>
  <si>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</si>
  <si>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</si>
  <si>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</si>
  <si>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</si>
  <si>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</si>
  <si>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</si>
  <si>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</si>
  <si>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</si>
  <si>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</si>
  <si>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</si>
  <si>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</si>
  <si>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</si>
  <si>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</si>
  <si>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</si>
  <si>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</si>
  <si>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</si>
  <si>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</si>
  <si>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</si>
  <si>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</si>
  <si>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</si>
  <si>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</si>
  <si>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</si>
  <si>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</si>
  <si>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</si>
  <si>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</si>
  <si>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</si>
  <si>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</si>
  <si>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</si>
  <si>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</si>
  <si>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</si>
  <si>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</si>
  <si>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</si>
  <si>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</si>
  <si>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</si>
  <si>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</si>
  <si>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</si>
  <si>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</si>
  <si>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</si>
  <si>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</si>
  <si>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</si>
  <si>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</si>
  <si>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</si>
  <si>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</si>
  <si>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</si>
  <si>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</si>
  <si>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</si>
  <si>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</si>
  <si>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</si>
  <si>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</si>
  <si>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</si>
  <si>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</si>
  <si>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</si>
  <si>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</si>
  <si>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</si>
  <si>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</si>
  <si>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</si>
  <si>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</si>
  <si>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</si>
  <si>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</si>
  <si>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</si>
  <si>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</si>
  <si>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</si>
  <si>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</si>
  <si>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</si>
  <si>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</si>
  <si>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</si>
  <si>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</si>
  <si>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</si>
  <si>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</si>
  <si>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</si>
  <si>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</si>
  <si>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</si>
  <si>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</si>
  <si>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</si>
  <si>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</si>
  <si>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</si>
  <si>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</si>
  <si>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</si>
  <si>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</si>
  <si>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</si>
  <si>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</si>
  <si>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</si>
  <si>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</si>
  <si>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</si>
  <si>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</si>
  <si>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</si>
  <si>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</si>
  <si>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</si>
  <si>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</si>
  <si>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</si>
  <si>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</si>
  <si>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</si>
  <si>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</si>
  <si>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</si>
  <si>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</si>
  <si>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</si>
  <si>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</si>
  <si>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</si>
  <si>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</si>
  <si>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</si>
  <si>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</si>
  <si>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</si>
  <si>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</si>
  <si>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</si>
  <si>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</si>
  <si>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</si>
  <si>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</si>
  <si>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</si>
  <si>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</si>
  <si>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</si>
  <si>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</si>
  <si>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</si>
  <si>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</si>
  <si>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</si>
  <si>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</si>
  <si>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</si>
  <si>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</si>
  <si>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</si>
  <si>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</si>
  <si>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</si>
  <si>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</si>
  <si>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</si>
  <si>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</si>
  <si>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</si>
  <si>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</si>
  <si>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</si>
  <si>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</si>
  <si>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</si>
  <si>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</si>
  <si>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</si>
  <si>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</si>
  <si>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</si>
  <si>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</si>
  <si>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</si>
  <si>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</si>
  <si>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</si>
  <si>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</si>
  <si>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</si>
  <si>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</si>
  <si>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</si>
  <si>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</si>
  <si>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</si>
  <si>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</si>
  <si>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</si>
  <si>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</si>
  <si>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</si>
  <si>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</si>
  <si>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</si>
  <si>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</si>
  <si>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</si>
  <si>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</si>
  <si>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</si>
  <si>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</si>
  <si>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</si>
  <si>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</si>
  <si>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</si>
  <si>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</si>
  <si>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</si>
  <si>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</si>
  <si>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</si>
  <si>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</si>
  <si>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</si>
  <si>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</si>
  <si>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</si>
  <si>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</si>
  <si>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</si>
  <si>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</si>
  <si>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</si>
  <si>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</si>
  <si>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</si>
  <si>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</si>
  <si>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</si>
  <si>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</si>
  <si>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</si>
  <si>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</si>
  <si>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</si>
  <si>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</si>
  <si>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</si>
  <si>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</si>
  <si>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</si>
  <si>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</si>
  <si>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</si>
  <si>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</si>
  <si>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</si>
  <si>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</si>
  <si>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</si>
  <si>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</si>
  <si>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</si>
  <si>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</si>
  <si>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</si>
  <si>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</si>
  <si>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</si>
  <si>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</si>
  <si>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</si>
  <si>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</si>
  <si>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</si>
  <si>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</si>
  <si>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</si>
  <si>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</si>
  <si>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</si>
  <si>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</si>
  <si>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</si>
  <si>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</si>
  <si>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</si>
  <si>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</si>
  <si>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</si>
  <si>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</si>
  <si>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</si>
  <si>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</si>
  <si>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</si>
  <si>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</si>
  <si>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</si>
  <si>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</si>
  <si>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</si>
  <si>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</si>
  <si>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</si>
  <si>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</si>
  <si>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</si>
  <si>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</si>
  <si>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</si>
  <si>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</si>
  <si>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</si>
  <si>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</si>
  <si>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</si>
  <si>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</si>
  <si>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</si>
  <si>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</si>
  <si>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</si>
  <si>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</si>
  <si>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</si>
  <si>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</si>
  <si>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</si>
  <si>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</si>
  <si>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</si>
  <si>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</si>
  <si>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</si>
  <si>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</si>
  <si>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</si>
  <si>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</si>
  <si>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</si>
  <si>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</si>
  <si>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</si>
  <si>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</si>
  <si>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</si>
  <si>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</si>
  <si>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</si>
  <si>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</si>
  <si>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</si>
  <si>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</si>
  <si>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</si>
  <si>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</si>
  <si>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</si>
  <si>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</si>
  <si>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</si>
  <si>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</si>
  <si>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</si>
  <si>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</si>
  <si>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</si>
  <si>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</si>
  <si>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</si>
  <si>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</si>
  <si>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</si>
  <si>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</si>
  <si>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</si>
  <si>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</si>
  <si>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</si>
  <si>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</si>
  <si>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</si>
  <si>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</si>
  <si>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</si>
  <si>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</si>
  <si>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</si>
  <si>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</si>
  <si>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</si>
  <si>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</si>
  <si>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</si>
  <si>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</si>
  <si>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</si>
  <si>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</si>
  <si>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</si>
  <si>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</si>
  <si>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</si>
  <si>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</si>
  <si>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</si>
  <si>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</si>
  <si>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</si>
  <si>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</si>
  <si>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</si>
  <si>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</si>
  <si>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</si>
  <si>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</si>
  <si>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</si>
  <si>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</si>
  <si>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</si>
  <si>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</si>
  <si>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</si>
  <si>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</si>
  <si>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</si>
  <si>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</si>
  <si>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</si>
  <si>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</si>
  <si>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</si>
  <si>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</si>
  <si>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</si>
  <si>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</si>
  <si>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</si>
  <si>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</si>
  <si>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</si>
  <si>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</si>
  <si>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</si>
  <si>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</si>
  <si>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</si>
  <si>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</si>
  <si>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</si>
  <si>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</si>
  <si>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</si>
  <si>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</si>
  <si>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</si>
  <si>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Brings in charges, volumes and revenues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</si>
  <si>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</si>
  <si>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</si>
  <si>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</si>
  <si>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</si>
  <si>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</si>
  <si>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</si>
  <si>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</si>
  <si>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</si>
  <si>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Paragraph 92</t>
  </si>
  <si>
    <t>Adder calculation</t>
  </si>
  <si>
    <t xml:space="preserve">This section calculates a "fixed adder" to unit rate charges for demand users that would equalise </t>
  </si>
  <si>
    <t xml:space="preserve">expected and allowed net revenue. This section includes a simple algorithm to account for </t>
  </si>
  <si>
    <t>the requirement that demand customers should not have negative unit rates.</t>
  </si>
  <si>
    <t>Adder value at which the non-negative demand charge constraint is breached</t>
  </si>
  <si>
    <t xml:space="preserve">Negative unit rates are not permitted for demand customers. This table calculates the lowest value </t>
  </si>
  <si>
    <t xml:space="preserve">a fixed adder could take before this constraint binds (for each unit rate and customer category). This is </t>
  </si>
  <si>
    <t xml:space="preserve">the negative of each pre-matching charge. </t>
  </si>
  <si>
    <t>Unit rate 1 - Adder threshold</t>
  </si>
  <si>
    <t>Unit rate 2 - Adder threshold</t>
  </si>
  <si>
    <t>Unit rate 3 - Adder threshold</t>
  </si>
  <si>
    <t>Expected units to be charged</t>
  </si>
  <si>
    <t xml:space="preserve">Calculates the effect on expected net revenue from the addition of a 1 p/kWh fixed adder to each unit </t>
  </si>
  <si>
    <t xml:space="preserve">rate charge for each customer category - driven by the units of energy each customer category is expected </t>
  </si>
  <si>
    <t>to use.</t>
  </si>
  <si>
    <t>Unit rate 1 - expected units to be charged</t>
  </si>
  <si>
    <t>Unit rate 2 - expected units to be charged</t>
  </si>
  <si>
    <t>Unit rate 3 - expected units to be charged</t>
  </si>
  <si>
    <t>Unconstrained adder solution (i.e. unit rates for demand can be negative)</t>
  </si>
  <si>
    <t>Paragraph 93</t>
  </si>
  <si>
    <t xml:space="preserve">Calculates the value of fixed adder that would equalise expected and allowed net revenue if it was </t>
  </si>
  <si>
    <t xml:space="preserve">unconstrained by the requirement that demand charges be non-negative. In some cases, the constraints </t>
  </si>
  <si>
    <t xml:space="preserve">will not bind, and this equal the constrained solution. </t>
  </si>
  <si>
    <t>Constraint-free adder solution</t>
  </si>
  <si>
    <t xml:space="preserve">This algorithm only affects the adder solution if pre-match net revenue exceeds target net revenue, in </t>
  </si>
  <si>
    <t xml:space="preserve">which case the unconstrained adder solution will be negative and the non-negative adder constraint may </t>
  </si>
  <si>
    <t xml:space="preserve">bind. If this is not the case the following steps can be ignored. </t>
  </si>
  <si>
    <t xml:space="preserve">Step 1 - Arrange all unit rate : customer category pre-match charges (and expected units to be charged) </t>
  </si>
  <si>
    <t xml:space="preserve">onto a single row. </t>
  </si>
  <si>
    <t xml:space="preserve">Unit rate_customer category (arbitrary order)&gt;&gt; </t>
  </si>
  <si>
    <t>Unit rate 1 p/kWh_LV Network Domestic</t>
  </si>
  <si>
    <t>Unit rate 1 p/kWh_LV Network Non-Domestic Non-CT</t>
  </si>
  <si>
    <t>Unit rate 1 p/kWh_LV HH Metered</t>
  </si>
  <si>
    <t>Unit rate 1 p/kWh_LV Sub HH Metered</t>
  </si>
  <si>
    <t>Unit rate 1 p/kWh_HV HH Metered</t>
  </si>
  <si>
    <t>Unit rate 1 p/kWh_LV UMS (Pseudo HH Metered)</t>
  </si>
  <si>
    <t>Unit rate 1 p/kWh_LV Generation NHH or Aggregate HH</t>
  </si>
  <si>
    <t>Unit rate 1 p/kWh_LV Sub Generation NHH</t>
  </si>
  <si>
    <t>Unit rate 1 p/kWh_LV Generation Non-Intermittent</t>
  </si>
  <si>
    <t>Unit rate 1 p/kWh_LV Generation Non-Intermittent no RP charge</t>
  </si>
  <si>
    <t>Unit rate 1 p/kWh_LV Sub Generation Non-Intermittent</t>
  </si>
  <si>
    <t>Unit rate 1 p/kWh_LV Sub Generation Non-Intermittent no RP charge</t>
  </si>
  <si>
    <t>Unit rate 1 p/kWh_HV Generation Non-Intermittent</t>
  </si>
  <si>
    <t>Unit rate 1 p/kWh_HV Generation Non-Intermittent no RP charge</t>
  </si>
  <si>
    <t>Unit rate 2 p/kWh_Domestic Unrestricted</t>
  </si>
  <si>
    <t>Unit rate 2 p/kWh_Domestic Two Rate</t>
  </si>
  <si>
    <t>Unit rate 2 p/kWh_Domestic Off Peak (related MPAN)</t>
  </si>
  <si>
    <t>Unit rate 2 p/kWh_Small Non Domestic Unrestricted</t>
  </si>
  <si>
    <t>Unit rate 2 p/kWh_Small Non Domestic Two Rate</t>
  </si>
  <si>
    <t>Unit rate 2 p/kWh_Small Non Domestic Off Peak (related MPAN)</t>
  </si>
  <si>
    <t>Unit rate 2 p/kWh_LV Medium Non-Domestic</t>
  </si>
  <si>
    <t>Unit rate 2 p/kWh_LV Sub Medium Non-Domestic</t>
  </si>
  <si>
    <t>Unit rate 2 p/kWh_HV Medium Non-Domestic</t>
  </si>
  <si>
    <t>Unit rate 2 p/kWh_LV Network Domestic</t>
  </si>
  <si>
    <t>Unit rate 2 p/kWh_LV Network Non-Domestic Non-CT</t>
  </si>
  <si>
    <t>Unit rate 2 p/kWh_LV HH Metered</t>
  </si>
  <si>
    <t>Unit rate 2 p/kWh_LV Sub HH Metered</t>
  </si>
  <si>
    <t>Unit rate 2 p/kWh_HV HH Metered</t>
  </si>
  <si>
    <t>Unit rate 2 p/kWh_NHH UMS category A</t>
  </si>
  <si>
    <t>Unit rate 2 p/kWh_NHH UMS category B</t>
  </si>
  <si>
    <t>Unit rate 2 p/kWh_NHH UMS category C</t>
  </si>
  <si>
    <t>Unit rate 2 p/kWh_NHH UMS category D</t>
  </si>
  <si>
    <t>Unit rate 2 p/kWh_LV UMS (Pseudo HH Metered)</t>
  </si>
  <si>
    <t>Unit rate 2 p/kWh_LV Generation NHH or Aggregate HH</t>
  </si>
  <si>
    <t>Unit rate 2 p/kWh_LV Sub Generation NHH</t>
  </si>
  <si>
    <t>Unit rate 2 p/kWh_LV Generation Intermittent</t>
  </si>
  <si>
    <t>Unit rate 2 p/kWh_LV Generation Intermittent no RP charge</t>
  </si>
  <si>
    <t>Unit rate 2 p/kWh_LV Generation Non-Intermittent</t>
  </si>
  <si>
    <t>Unit rate 2 p/kWh_LV Generation Non-Intermittent no RP charge</t>
  </si>
  <si>
    <t>Unit rate 2 p/kWh_LV Sub Generation Intermittent</t>
  </si>
  <si>
    <t>Unit rate 2 p/kWh_LV Sub Generation Intermittent no RP charge</t>
  </si>
  <si>
    <t>Unit rate 2 p/kWh_LV Sub Generation Non-Intermittent</t>
  </si>
  <si>
    <t>Unit rate 2 p/kWh_LV Sub Generation Non-Intermittent no RP charge</t>
  </si>
  <si>
    <t>Unit rate 2 p/kWh_HV Generation Intermittent</t>
  </si>
  <si>
    <t>Unit rate 2 p/kWh_HV Generation Intermittent no RP charge</t>
  </si>
  <si>
    <t>Unit rate 2 p/kWh_HV Generation Non-Intermittent</t>
  </si>
  <si>
    <t>Combined - Adder threshold</t>
  </si>
  <si>
    <t>Combined - expected units to be charged</t>
  </si>
  <si>
    <t xml:space="preserve">Step 2 - Rank the unit rate : customer category pre-match charges by their adder threshold values - from </t>
  </si>
  <si>
    <t xml:space="preserve">lowest to highest. </t>
  </si>
  <si>
    <t>Adder thresholds ranked from lowest (1) to highest (99)</t>
  </si>
  <si>
    <t>Tie-breaker between equal threshold rates</t>
  </si>
  <si>
    <t>Adder thresholds ranked from lowest (1) to highest (99), post tie-breaker</t>
  </si>
  <si>
    <t xml:space="preserve">Step 3 - Reorder adder thresholds (and their respective numbers of units to be charged) by rank. Identify </t>
  </si>
  <si>
    <t xml:space="preserve">the value at which the fixed adder would equalise expected and allowed net revenue. </t>
  </si>
  <si>
    <t>Rank&gt;&gt;</t>
  </si>
  <si>
    <t>Starting point</t>
  </si>
  <si>
    <t>Reordered adder threshold values for each tariff / unit rate (lowest to highest)</t>
  </si>
  <si>
    <t>Cumulative units, aggregating across tariff / unit rates from lowest to highest adder threshold.</t>
  </si>
  <si>
    <t>Unscaleable net revenue</t>
  </si>
  <si>
    <t>Scaleable net revenue, for a given (threshold) adder value</t>
  </si>
  <si>
    <t>Total net revenue, for a given (threshold) adder value</t>
  </si>
  <si>
    <t>Exact constrained adder value at which expected net revenue = allowed net revenue</t>
  </si>
  <si>
    <t>Constrained adder solution</t>
  </si>
  <si>
    <t>Paragraph 94</t>
  </si>
  <si>
    <t xml:space="preserve">Shows the adder value that would equalise expected and allowed net revenue, subject to the constraint </t>
  </si>
  <si>
    <t>that demand charges be non-negative. The solution is selected from the last row of the table above.</t>
  </si>
  <si>
    <t xml:space="preserve">This section presents the amount by which unit charges for demand users will be raised or lowered </t>
  </si>
  <si>
    <t xml:space="preserve">to equalise expected and allowed revenue, subject to the constraint that demand charges are non-negative. </t>
  </si>
  <si>
    <t>Adder to be applied to unit rates</t>
  </si>
  <si>
    <t>Allocates an adder to each unit rate and customer type which will equalise expected and allowed revenue,</t>
  </si>
  <si>
    <t xml:space="preserve"> subject to the constraint that demand charges be non-negative. Adders are applied for demand users only.</t>
  </si>
  <si>
    <t>Adder on Unit rate 1</t>
  </si>
  <si>
    <t>Adder on Unit rate 2</t>
  </si>
  <si>
    <t>Adder on Unit rate 3</t>
  </si>
  <si>
    <t xml:space="preserve">Check that adder constraint is compatible with revenue matching </t>
  </si>
  <si>
    <t>Total revenue check</t>
  </si>
  <si>
    <t>Summary of error checks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</si>
  <si>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</si>
  <si>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</si>
  <si>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</si>
  <si>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</si>
  <si>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</si>
  <si>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</si>
  <si>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Adder calculated in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</si>
  <si>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</si>
  <si>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</si>
  <si>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</si>
  <si>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</si>
  <si>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</si>
  <si>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</si>
  <si>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</si>
  <si>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</si>
  <si>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</si>
  <si>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</si>
  <si>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</si>
  <si>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</si>
  <si>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</si>
  <si>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</si>
  <si>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</si>
  <si>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</si>
  <si>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</si>
  <si>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</si>
  <si>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</si>
  <si>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</si>
  <si>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</si>
  <si>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</si>
  <si>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</si>
  <si>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</si>
  <si>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</si>
  <si>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</si>
  <si>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</si>
  <si>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</si>
  <si>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</si>
  <si>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</si>
  <si>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</si>
  <si>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</si>
  <si>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</si>
  <si>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</si>
  <si>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</si>
  <si>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</si>
  <si>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</si>
  <si>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</si>
  <si>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</si>
  <si>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</si>
  <si>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</si>
  <si>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</si>
  <si>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</si>
  <si>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</si>
  <si>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</si>
  <si>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</si>
  <si>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</si>
  <si>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</si>
  <si>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</si>
  <si>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</si>
  <si>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</si>
  <si>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</si>
  <si>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</si>
  <si>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</si>
  <si>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</si>
  <si>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</si>
  <si>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</si>
  <si>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</si>
  <si>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</si>
  <si>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</si>
  <si>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</si>
  <si>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</si>
  <si>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</si>
  <si>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</si>
  <si>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</si>
  <si>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</si>
  <si>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</si>
  <si>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</si>
  <si>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</si>
  <si>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</si>
  <si>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</si>
  <si>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</si>
  <si>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</si>
  <si>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</si>
  <si>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</si>
  <si>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</si>
  <si>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</si>
  <si>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</si>
  <si>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</si>
  <si>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</si>
  <si>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"Latest forecast of CDCM Revenue" is the only row used as an input to the model itself</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</si>
  <si>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</si>
  <si>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</si>
  <si>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</si>
  <si>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</si>
  <si>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</si>
  <si>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</si>
  <si>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</si>
  <si>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</si>
  <si>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</si>
  <si>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</si>
  <si>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</si>
  <si>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</si>
  <si>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</si>
  <si>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</si>
  <si>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</si>
  <si>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</si>
  <si>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Unit rate 1 p/kWh_Domestic Aggregated</t>
  </si>
  <si>
    <t>Unit rate 1 p/kWh_Domestic Aggregated (Related MPAN)</t>
  </si>
  <si>
    <t>Unit rate 1 p/kWh_Non-Domestic Aggregated</t>
  </si>
  <si>
    <t>Unit rate 1 p/kWh_Non-Domestic Aggregated (Related MPAN)</t>
  </si>
  <si>
    <t>Unit rate 1 p/kWh_LV Site Specific</t>
  </si>
  <si>
    <t>Unit rate 1 p/kWh_LV Sub Site Specific</t>
  </si>
  <si>
    <t>Unit rate 1 p/kWh_HV Site Specific</t>
  </si>
  <si>
    <t>Unit rate 1 p/kWh_Unmetered Supplies</t>
  </si>
  <si>
    <t>Unit rate 1 p/kWh_LV Generation Aggregated</t>
  </si>
  <si>
    <t>Unit rate 1 p/kWh_LV Sub Generation Aggregated</t>
  </si>
  <si>
    <t>Unit rate 1 p/kWh_LV Generation Site Specific</t>
  </si>
  <si>
    <t>Unit rate 1 p/kWh_LV Generation Site Specific no RP Charge</t>
  </si>
  <si>
    <t>Unit rate 1 p/kWh_LV Sub Generation Site Specific</t>
  </si>
  <si>
    <t>Unit rate 1 p/kWh_LV Sub Generation Site Specific no RP Charge</t>
  </si>
  <si>
    <t>Unit rate 1 p/kWh_HV Generation Site Specific</t>
  </si>
  <si>
    <t>Unit rate 1 p/kWh_HV Generation Site Specific no RP Charge</t>
  </si>
  <si>
    <t>Unit rate 2 p/kWh_Domestic Aggregated</t>
  </si>
  <si>
    <t>Unit rate 2 p/kWh_Domestic Aggregated (Related MPAN)</t>
  </si>
  <si>
    <t>Unit rate 2 p/kWh_Non-Domestic Aggregated</t>
  </si>
  <si>
    <t>Unit rate 2 p/kWh_Non-Domestic Aggregated (Related MPAN)</t>
  </si>
  <si>
    <t>Unit rate 2 p/kWh_LV Site Specific</t>
  </si>
  <si>
    <t>Unit rate 2 p/kWh_LV Sub Site Specific</t>
  </si>
  <si>
    <t>Unit rate 2 p/kWh_HV Site Specific</t>
  </si>
  <si>
    <t>Unit rate 2 p/kWh_Unmetered Supplies</t>
  </si>
  <si>
    <t>Unit rate 2 p/kWh_LV Generation Aggregated</t>
  </si>
  <si>
    <t>Unit rate 2 p/kWh_LV Sub Generation Aggregated</t>
  </si>
  <si>
    <t>Unit rate 2 p/kWh_LV Generation Site Specific</t>
  </si>
  <si>
    <t>Unit rate 2 p/kWh_LV Generation Site Specific no RP Charge</t>
  </si>
  <si>
    <t>Unit rate 2 p/kWh_LV Sub Generation Site Specific</t>
  </si>
  <si>
    <t>Unit rate 2 p/kWh_LV Sub Generation Site Specific no RP Charge</t>
  </si>
  <si>
    <t>Unit rate 2 p/kWh_HV Generation Site Specific</t>
  </si>
  <si>
    <t>Unit rate 2 p/kWh_HV Generation Site Specific no RP Charge</t>
  </si>
  <si>
    <t>Unit rate 3 p/kWh_Domestic Aggregated</t>
  </si>
  <si>
    <t>Unit rate 3 p/kWh_Domestic Aggregated (Related MPAN)</t>
  </si>
  <si>
    <t>Unit rate 3 p/kWh_Non-Domestic Aggregated</t>
  </si>
  <si>
    <t>Unit rate 3 p/kWh_Non-Domestic Aggregated (Related MPAN)</t>
  </si>
  <si>
    <t>Unit rate 3 p/kWh_LV Site Specific</t>
  </si>
  <si>
    <t>Unit rate 3 p/kWh_LV Sub Site Specific</t>
  </si>
  <si>
    <t>Unit rate 3 p/kWh_HV Site Specific</t>
  </si>
  <si>
    <t>Unit rate 3 p/kWh_Unmetered Supplies</t>
  </si>
  <si>
    <t>Unit rate 3 p/kWh_LV Generation Aggregated</t>
  </si>
  <si>
    <t>Unit rate 3 p/kWh_LV Sub Generation Aggregated</t>
  </si>
  <si>
    <t>Unit rate 3 p/kWh_LV Generation Site Specific</t>
  </si>
  <si>
    <t>Unit rate 3 p/kWh_LV Generation Site Specific no RP Charge</t>
  </si>
  <si>
    <t>Unit rate 3 p/kWh_LV Sub Generation Site Specific</t>
  </si>
  <si>
    <t>Unit rate 3 p/kWh_LV Sub Generation Site Specific no RP Charge</t>
  </si>
  <si>
    <t>Unit rate 3 p/kWh_HV Generation Site Specific</t>
  </si>
  <si>
    <t>Unit rate 3 p/kWh_HV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</si>
  <si>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</si>
  <si>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</si>
  <si>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</si>
  <si>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</si>
  <si>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</si>
  <si>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</si>
  <si>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</si>
  <si>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</si>
  <si>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</si>
  <si>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</si>
  <si>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</si>
  <si>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</si>
  <si>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Unless stated otherwise, this workbook is only a prototype for testing purposes and all the data in this model are for illustration only. Neither the authors nor Cambridge Economic Policy Associates/TNEI accept or assume any responsibility or duty of care to any third party.</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</si>
  <si>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</si>
  <si>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</si>
  <si>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</si>
  <si>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</si>
  <si>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</si>
  <si>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</si>
  <si>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</si>
  <si>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</si>
  <si>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</si>
  <si>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</si>
  <si>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</si>
  <si>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</si>
  <si>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</si>
  <si>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</si>
  <si>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</si>
  <si>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</si>
  <si>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</si>
  <si>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</si>
  <si>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</si>
  <si>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</si>
  <si>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</si>
  <si>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</si>
  <si>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</si>
  <si>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</si>
  <si>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</si>
  <si>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</si>
  <si>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</si>
  <si>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</si>
  <si>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</si>
  <si>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Fixed charge adder</t>
  </si>
  <si>
    <t>Section 118</t>
  </si>
  <si>
    <t>'Designated Property' MPANs with EDCM-level LDNO boundaries</t>
  </si>
  <si>
    <t>Target CDCM net revenue, less applicable pass-through costs</t>
  </si>
  <si>
    <t>Adder to be applied to fixed charge</t>
  </si>
  <si>
    <t>Adder calculated in allocated costs</t>
  </si>
  <si>
    <t>All the way tariff forecast, post-adders &amp; discounting</t>
  </si>
  <si>
    <t>LDNO LV tariff forecast, post-adders &amp; discounting</t>
  </si>
  <si>
    <t>LDNO HV tariff forecast, post-adders &amp; discounting</t>
  </si>
  <si>
    <t>Net revenue from unit rate adder</t>
  </si>
  <si>
    <t>Net revenue from fixed rate adder, CDCM</t>
  </si>
  <si>
    <t>Net revenue from fixed rate adder, EDCM</t>
  </si>
  <si>
    <t>Fixed charge adders</t>
  </si>
  <si>
    <t>2021/22</t>
  </si>
  <si>
    <t>Expected revenue from unit rate adder, by tariff (pre-rounding)</t>
  </si>
  <si>
    <t>Total expected revenue from unit rate adder, post scaling (pre-rounding)</t>
  </si>
  <si>
    <t>Release for 2021/22 charge setting</t>
  </si>
  <si>
    <t>Updated references to legal text version, and implemented DCP332 and DCP333, assuming implementation of DCP 356 (as described in the user guide).</t>
  </si>
  <si>
    <t>Paragraphs 101 and 103</t>
  </si>
  <si>
    <t>Paragraph 90A</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</si>
  <si>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</si>
  <si>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</si>
  <si>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</si>
  <si>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</si>
  <si>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</si>
  <si>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</si>
  <si>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</si>
  <si>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Paragraphs 101 and 102</t>
  </si>
  <si>
    <t>WPD East Midlands</t>
  </si>
  <si>
    <t>April 21 Prices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</si>
</sst>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0_ ;\-#,##0.000000\ "/>
    <numFmt numFmtId="181" formatCode="#,##0.000000000_ ;\-#,##0.000000000\ "/>
    <numFmt numFmtId="182" formatCode="0.0000000%"/>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7">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s>
  <borders count="21">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352">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25" fillId="0" borderId="0" xfId="0" applyFont="1" applyAlignment="1">
      <alignment horizontal="left" vertical="center" wrapText="1"/>
    </xf>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xf>
    <xf numFmtId="0" fontId="34" fillId="0" borderId="0" xfId="56" applyNumberFormat="1" applyAlignment="1">
      <alignment horizontal="left"/>
    </xf>
    <xf numFmtId="0" fontId="1" fillId="3" borderId="0" xfId="1" applyNumberFormat="1" applyAlignment="1">
      <alignment horizontal="left"/>
    </xf>
    <xf numFmtId="168" fontId="8" fillId="4" borderId="2" xfId="55" applyBorder="1" applyAlignment="1"/>
    <xf numFmtId="0" fontId="0" fillId="0" borderId="2" xfId="0" applyBorder="1"/>
    <xf numFmtId="0" fontId="8" fillId="0" borderId="0" xfId="60" applyNumberFormat="1" applyAlignment="1"/>
    <xf numFmtId="9" fontId="34" fillId="0" borderId="0" xfId="56"/>
    <xf numFmtId="0" fontId="35" fillId="0" borderId="0" xfId="52" applyBorder="1"/>
    <xf numFmtId="0" fontId="8" fillId="0" borderId="18" xfId="60" applyNumberFormat="1" applyBorder="1" applyAlignment="1"/>
    <xf numFmtId="0" fontId="7" fillId="0" borderId="0" xfId="50"/>
    <xf numFmtId="0" fontId="36" fillId="0" borderId="0" xfId="58"/>
    <xf numFmtId="0" fontId="1" fillId="5" borderId="0" xfId="49"/>
    <xf numFmtId="0" fontId="22" fillId="37" borderId="0" xfId="48"/>
    <xf numFmtId="0" fontId="2" fillId="0" borderId="0" xfId="53"/>
    <xf numFmtId="0" fontId="0" fillId="40" borderId="0" xfId="0" applyFill="1"/>
    <xf numFmtId="0" fontId="0" fillId="41" borderId="0" xfId="0" applyFill="1"/>
    <xf numFmtId="0" fontId="0" fillId="42" borderId="0" xfId="0" applyFill="1"/>
    <xf numFmtId="0" fontId="0" fillId="43" borderId="3" xfId="0" applyFill="1" applyBorder="1"/>
    <xf numFmtId="0" fontId="0" fillId="0" borderId="3" xfId="0" applyBorder="1"/>
    <xf numFmtId="0" fontId="27" fillId="0" borderId="0" xfId="0" applyFont="1" applyAlignment="1">
      <alignment horizontal="left"/>
    </xf>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7"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49" fontId="1" fillId="3" borderId="0" xfId="0" applyNumberFormat="1" applyFont="1" applyFill="1" applyAlignment="1">
      <alignment horizontal="left" vertical="center"/>
    </xf>
    <xf numFmtId="49" fontId="1" fillId="3" borderId="0" xfId="0" applyNumberFormat="1" applyFont="1" applyFill="1" applyAlignment="1">
      <alignment horizontal="right" vertical="center"/>
    </xf>
    <xf numFmtId="175" fontId="8" fillId="0" borderId="15" xfId="60" applyNumberFormat="1" applyBorder="1" applyAlignment="1"/>
    <xf numFmtId="3" fontId="1" fillId="3" borderId="0" xfId="0" applyNumberFormat="1" applyFont="1" applyFill="1" applyAlignment="1">
      <alignment horizontal="right" vertical="center"/>
    </xf>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0" fontId="8" fillId="39" borderId="0" xfId="51" applyFill="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8" fillId="2" borderId="2" xfId="51" applyNumberFormat="1" applyBorder="1" applyProtection="1">
      <protection locked="0"/>
    </xf>
    <xf numFmtId="176" fontId="0" fillId="0" borderId="0" xfId="0" applyNumberFormat="1"/>
    <xf numFmtId="176" fontId="8" fillId="4" borderId="0" xfId="55" applyNumberFormat="1">
      <alignment vertical="top"/>
    </xf>
    <xf numFmtId="176" fontId="8" fillId="2" borderId="0" xfId="51" applyNumberFormat="1" applyProtection="1">
      <protection locked="0"/>
    </xf>
    <xf numFmtId="176" fontId="8" fillId="2" borderId="0" xfId="51" applyNumberFormat="1" applyAlignment="1" applyProtection="1">
      <alignment vertical="top"/>
      <protection locked="0"/>
    </xf>
    <xf numFmtId="176" fontId="0" fillId="0" borderId="3" xfId="0" applyNumberFormat="1" applyBorder="1"/>
    <xf numFmtId="176" fontId="8" fillId="4" borderId="3" xfId="55" applyNumberFormat="1" applyBorder="1">
      <alignment vertical="top"/>
    </xf>
    <xf numFmtId="176" fontId="8" fillId="2" borderId="3" xfId="51" applyNumberFormat="1" applyBorder="1" applyProtection="1">
      <protection locked="0"/>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0" fillId="0" borderId="15" xfId="0" applyNumberFormat="1" applyBorder="1"/>
    <xf numFmtId="176" fontId="8" fillId="0" borderId="16" xfId="60" applyNumberFormat="1" applyBorder="1" applyAlignment="1"/>
    <xf numFmtId="176" fontId="8" fillId="39" borderId="2" xfId="65" applyNumberFormat="1" applyFont="1" applyBorder="1"/>
    <xf numFmtId="176" fontId="8" fillId="39" borderId="0" xfId="65" applyNumberFormat="1" applyFont="1"/>
    <xf numFmtId="176" fontId="8" fillId="39" borderId="3" xfId="65" applyNumberFormat="1" applyFont="1" applyBorder="1"/>
    <xf numFmtId="0" fontId="1" fillId="3" borderId="19" xfId="1" applyNumberFormat="1" applyBorder="1" applyAlignment="1"/>
    <xf numFmtId="0" fontId="26" fillId="44" borderId="0" xfId="54" quotePrefix="1" applyFill="1"/>
    <xf numFmtId="0" fontId="26" fillId="44" borderId="20" xfId="54" quotePrefix="1" applyFill="1" applyBorder="1"/>
    <xf numFmtId="0" fontId="26" fillId="45" borderId="0" xfId="54" quotePrefix="1" applyFill="1"/>
    <xf numFmtId="0" fontId="26" fillId="45" borderId="20" xfId="54" quotePrefix="1" applyFill="1" applyBorder="1"/>
    <xf numFmtId="0" fontId="26" fillId="37" borderId="0" xfId="54" quotePrefix="1" applyFill="1"/>
    <xf numFmtId="0" fontId="26" fillId="37" borderId="20" xfId="54" quotePrefix="1" applyFill="1" applyBorder="1"/>
    <xf numFmtId="0" fontId="26" fillId="46" borderId="0" xfId="54" quotePrefix="1" applyFill="1"/>
    <xf numFmtId="0" fontId="26" fillId="46" borderId="20"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76" fontId="8" fillId="39" borderId="4" xfId="65" applyNumberFormat="1" applyFont="1" applyBorder="1"/>
    <xf numFmtId="9" fontId="8" fillId="39" borderId="4" xfId="65" applyNumberFormat="1" applyFont="1" applyBorder="1"/>
    <xf numFmtId="10" fontId="8" fillId="39" borderId="2" xfId="65" applyNumberFormat="1" applyFont="1" applyBorder="1"/>
    <xf numFmtId="10" fontId="8" fillId="39" borderId="3" xfId="65" applyNumberFormat="1" applyFont="1" applyBorder="1"/>
    <xf numFmtId="0" fontId="0" fillId="0" borderId="0" xfId="0"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0" fillId="0" borderId="0" xfId="0" applyFill="1"/>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175" fontId="35" fillId="0" borderId="4" xfId="52" applyNumberFormat="1" applyBorder="1" applyAlignment="1">
      <alignment horizontal="right"/>
    </xf>
    <xf numFmtId="0" fontId="35" fillId="0" borderId="0" xfId="52"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9" fontId="8" fillId="2" borderId="0" xfId="51" applyNumberFormat="1" applyProtection="1">
      <protection locked="0"/>
    </xf>
    <xf numFmtId="180" fontId="0" fillId="0" borderId="0" xfId="0" applyNumberFormat="1"/>
    <xf numFmtId="169" fontId="8" fillId="2" borderId="0" xfId="51" applyNumberFormat="1" applyProtection="1">
      <protection locked="0"/>
    </xf>
    <xf numFmtId="169" fontId="8" fillId="2" borderId="2" xfId="51" applyNumberFormat="1" applyBorder="1" applyProtection="1">
      <protection locked="0"/>
    </xf>
    <xf numFmtId="169" fontId="8" fillId="2" borderId="3" xfId="51" applyNumberFormat="1" applyBorder="1" applyProtection="1">
      <protection locked="0"/>
    </xf>
    <xf numFmtId="10" fontId="8" fillId="2" borderId="2" xfId="51" applyNumberFormat="1" applyBorder="1" applyProtection="1">
      <protection locked="0"/>
    </xf>
    <xf numFmtId="10" fontId="8" fillId="2" borderId="3" xfId="51" applyNumberFormat="1" applyBorder="1" applyProtection="1">
      <protection locked="0"/>
    </xf>
    <xf numFmtId="169" fontId="8" fillId="4" borderId="3" xfId="55" applyNumberFormat="1" applyBorder="1">
      <alignment vertical="top"/>
    </xf>
    <xf numFmtId="181" fontId="0" fillId="0" borderId="0" xfId="0" applyNumberFormat="1"/>
    <xf numFmtId="182"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227">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D086CC"/>
      <color rgb="FFFF9999"/>
      <color rgb="FFFF4343"/>
      <color rgb="FFFFAFAF"/>
      <color rgb="FF333F4F"/>
      <color rgb="FFF1DBF0"/>
      <color rgb="FF92D2EE"/>
      <color rgb="FF4B86CD"/>
      <color rgb="FF275792"/>
      <color rgb="FFFFE2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576262</xdr:colOff>
      <xdr:row>3</xdr:row>
      <xdr:rowOff>25713</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701278</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39</xdr:row>
      <xdr:rowOff>24755</xdr:rowOff>
    </xdr:from>
    <xdr:to>
      <xdr:col>8</xdr:col>
      <xdr:colOff>1248669</xdr:colOff>
      <xdr:row>40</xdr:row>
      <xdr:rowOff>90187</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598614" y="7349480"/>
          <a:ext cx="1593530" cy="24640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447459</xdr:colOff>
      <xdr:row>40</xdr:row>
      <xdr:rowOff>92727</xdr:rowOff>
    </xdr:from>
    <xdr:to>
      <xdr:col>8</xdr:col>
      <xdr:colOff>449999</xdr:colOff>
      <xdr:row>41</xdr:row>
      <xdr:rowOff>96842</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78" idx="2"/>
          <a:endCxn id="87" idx="0"/>
        </xdr:cNvCxnSpPr>
      </xdr:nvCxnSpPr>
      <xdr:spPr>
        <a:xfrm flipH="1">
          <a:off x="5390934" y="7598427"/>
          <a:ext cx="2540" cy="19461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1433774</xdr:colOff>
      <xdr:row>41</xdr:row>
      <xdr:rowOff>93032</xdr:rowOff>
    </xdr:from>
    <xdr:to>
      <xdr:col>8</xdr:col>
      <xdr:colOff>1247399</xdr:colOff>
      <xdr:row>42</xdr:row>
      <xdr:rowOff>165283</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596074" y="7789232"/>
          <a:ext cx="1594800"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 adder</a:t>
          </a:r>
        </a:p>
      </xdr:txBody>
    </xdr:sp>
    <xdr:clientData/>
  </xdr:twoCellAnchor>
  <xdr:twoCellAnchor>
    <xdr:from>
      <xdr:col>8</xdr:col>
      <xdr:colOff>447459</xdr:colOff>
      <xdr:row>42</xdr:row>
      <xdr:rowOff>167823</xdr:rowOff>
    </xdr:from>
    <xdr:to>
      <xdr:col>8</xdr:col>
      <xdr:colOff>447459</xdr:colOff>
      <xdr:row>43</xdr:row>
      <xdr:rowOff>168128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87" idx="2"/>
          <a:endCxn id="79" idx="0"/>
        </xdr:cNvCxnSpPr>
      </xdr:nvCxnSpPr>
      <xdr:spPr>
        <a:xfrm>
          <a:off x="5390934" y="8054523"/>
          <a:ext cx="0" cy="19080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zoomScale="80" zoomScaleNormal="80" workbookViewId="0">
      <selection activeCell="D25" sqref="D25"/>
    </sheetView>
  </sheetViews>
  <sheetFormatPr defaultColWidth="0" defaultRowHeight="15" customHeight="1" x14ac:dyDescent="0.25"/>
  <cols>
    <col min="1" max="1" width="2.7109375" style="3" customWidth="1"/>
    <col min="2" max="2" width="22.7109375" style="3" customWidth="1"/>
    <col min="3" max="3" width="2.7109375" style="3" customWidth="1"/>
    <col min="4" max="4" width="100.42578125" style="4" customWidth="1"/>
    <col min="5" max="5" width="2.5703125" style="3" customWidth="1"/>
    <col min="6" max="16384" width="9.28515625" style="3" hidden="1"/>
  </cols>
  <sheetData>
    <row r="2" spans="2:4" ht="28.5" x14ac:dyDescent="0.25">
      <c r="D2" s="16" t="s">
        <v>0</v>
      </c>
    </row>
    <row r="4" spans="2:4" ht="21" x14ac:dyDescent="0.25">
      <c r="D4" s="7" t="s">
        <v>1062</v>
      </c>
    </row>
    <row r="5" spans="2:4" x14ac:dyDescent="0.25">
      <c r="D5" s="17"/>
    </row>
    <row r="6" spans="2:4" x14ac:dyDescent="0.25">
      <c r="B6" s="18" t="str">
        <f>'Version control'!F7</f>
        <v>Model date:</v>
      </c>
      <c r="D6" s="19">
        <f>'Version control'!H7</f>
        <v>43777</v>
      </c>
    </row>
    <row r="7" spans="2:4" ht="15" customHeight="1" x14ac:dyDescent="0.25">
      <c r="D7" s="20"/>
    </row>
    <row r="8" spans="2:4" ht="15" customHeight="1" x14ac:dyDescent="0.25">
      <c r="B8" s="18" t="str">
        <f>'Version control'!F9</f>
        <v>Development stage:</v>
      </c>
      <c r="D8" s="19" t="str">
        <f>'Version control'!H9</f>
        <v>Release for charge setting</v>
      </c>
    </row>
    <row r="9" spans="2:4" ht="15" customHeight="1" x14ac:dyDescent="0.25">
      <c r="D9" s="20"/>
    </row>
    <row r="10" spans="2:4" ht="15" customHeight="1" x14ac:dyDescent="0.25">
      <c r="B10" s="18" t="str">
        <f>'Version control'!F11</f>
        <v>Model number:</v>
      </c>
      <c r="D10" s="20">
        <f>'Version control'!H11</f>
        <v>5</v>
      </c>
    </row>
    <row r="11" spans="2:4" ht="15" customHeight="1" x14ac:dyDescent="0.25">
      <c r="D11" s="20"/>
    </row>
    <row r="12" spans="2:4" ht="15" customHeight="1" x14ac:dyDescent="0.25">
      <c r="B12" s="18" t="str">
        <f>'Version control'!F13</f>
        <v>DCUSA text version:</v>
      </c>
      <c r="D12" s="19" t="str">
        <f>'Version control'!H13</f>
        <v>Attachment A_01 April 2021 Charging Methodologies Pre-Release_Issued October 2019 (shared 10/10/2019)</v>
      </c>
    </row>
    <row r="13" spans="2:4" ht="15" customHeight="1" x14ac:dyDescent="0.25">
      <c r="D13" s="20"/>
    </row>
    <row r="14" spans="2:4" ht="15" customHeight="1" x14ac:dyDescent="0.25">
      <c r="B14" s="18" t="str">
        <f>'Version control'!F15</f>
        <v>DCUSA text schedule:</v>
      </c>
      <c r="D14" s="19" t="str">
        <f>'Version control'!H15</f>
        <v>Schedule 16</v>
      </c>
    </row>
    <row r="16" spans="2:4" ht="45" x14ac:dyDescent="0.25">
      <c r="B16" s="18" t="s">
        <v>1</v>
      </c>
      <c r="D16" s="8" t="s">
        <v>1016</v>
      </c>
    </row>
    <row r="17" spans="2:4" x14ac:dyDescent="0.25">
      <c r="D17" s="4" t="s">
        <v>2</v>
      </c>
    </row>
    <row r="18" spans="2:4" x14ac:dyDescent="0.25">
      <c r="D18" s="3"/>
    </row>
    <row r="19" spans="2:4" ht="15" customHeight="1" x14ac:dyDescent="0.25">
      <c r="B19" s="18" t="s">
        <v>3</v>
      </c>
      <c r="D19" s="245" t="s">
        <v>1059</v>
      </c>
    </row>
    <row r="21" spans="2:4" ht="15" customHeight="1" x14ac:dyDescent="0.25">
      <c r="B21" s="18" t="s">
        <v>4</v>
      </c>
      <c r="D21" s="245" t="s">
        <v>1074</v>
      </c>
    </row>
    <row r="23" spans="2:4" ht="15" customHeight="1" x14ac:dyDescent="0.25">
      <c r="B23" s="18" t="s">
        <v>5</v>
      </c>
      <c r="D23" s="245" t="s">
        <v>1075</v>
      </c>
    </row>
    <row r="25" spans="2:4" ht="30" customHeight="1" x14ac:dyDescent="0.25">
      <c r="B25" s="18" t="s">
        <v>6</v>
      </c>
      <c r="D25" s="245" t="s">
        <v>7</v>
      </c>
    </row>
    <row r="26" spans="2:4" ht="15" customHeight="1" x14ac:dyDescent="0.25">
      <c r="B26" s="18"/>
    </row>
    <row r="27" spans="2:4" ht="15" customHeight="1" x14ac:dyDescent="0.25">
      <c r="B27" s="18" t="s">
        <v>8</v>
      </c>
    </row>
    <row r="28" spans="2:4" customFormat="1" ht="15" customHeight="1" x14ac:dyDescent="0.25">
      <c r="B28" s="21" t="s">
        <v>9</v>
      </c>
      <c r="C28" s="1"/>
      <c r="D28" s="1" t="s">
        <v>10</v>
      </c>
    </row>
    <row r="29" spans="2:4" customFormat="1" x14ac:dyDescent="0.25">
      <c r="B29" s="22"/>
      <c r="C29" s="23"/>
      <c r="D29" s="23" t="s">
        <v>11</v>
      </c>
    </row>
    <row r="30" spans="2:4" customFormat="1" x14ac:dyDescent="0.25">
      <c r="B30" s="246" t="s">
        <v>12</v>
      </c>
      <c r="D30" t="s">
        <v>13</v>
      </c>
    </row>
    <row r="31" spans="2:4" customFormat="1" x14ac:dyDescent="0.25">
      <c r="B31" s="247" t="s">
        <v>12</v>
      </c>
      <c r="D31" t="s">
        <v>14</v>
      </c>
    </row>
    <row r="32" spans="2:4" customFormat="1" x14ac:dyDescent="0.25">
      <c r="B32" s="248" t="s">
        <v>12</v>
      </c>
      <c r="D32" t="s">
        <v>15</v>
      </c>
    </row>
    <row r="33" spans="2:4" customFormat="1" x14ac:dyDescent="0.25">
      <c r="B33" s="24" t="s">
        <v>12</v>
      </c>
      <c r="D33" t="s">
        <v>16</v>
      </c>
    </row>
    <row r="34" spans="2:4" customFormat="1" x14ac:dyDescent="0.25">
      <c r="B34" s="25" t="s">
        <v>12</v>
      </c>
      <c r="D34" t="s">
        <v>17</v>
      </c>
    </row>
    <row r="35" spans="2:4" customFormat="1" x14ac:dyDescent="0.25">
      <c r="B35" s="26" t="s">
        <v>12</v>
      </c>
      <c r="D35" t="s">
        <v>18</v>
      </c>
    </row>
    <row r="36" spans="2:4" customFormat="1" x14ac:dyDescent="0.25">
      <c r="B36" s="27" t="s">
        <v>12</v>
      </c>
      <c r="D36" t="s">
        <v>19</v>
      </c>
    </row>
    <row r="37" spans="2:4" customFormat="1" x14ac:dyDescent="0.25">
      <c r="B37" s="28" t="s">
        <v>20</v>
      </c>
      <c r="D37" t="s">
        <v>21</v>
      </c>
    </row>
    <row r="38" spans="2:4" customFormat="1" ht="15" customHeight="1" x14ac:dyDescent="0.25">
      <c r="B38" s="29" t="s">
        <v>20</v>
      </c>
      <c r="D38" t="s">
        <v>22</v>
      </c>
    </row>
    <row r="39" spans="2:4" customFormat="1" ht="15" customHeight="1" x14ac:dyDescent="0.25">
      <c r="B39" s="1" t="s">
        <v>20</v>
      </c>
      <c r="D39" t="s">
        <v>23</v>
      </c>
    </row>
    <row r="40" spans="2:4" customFormat="1" ht="15" customHeight="1" x14ac:dyDescent="0.25">
      <c r="B40" s="30" t="s">
        <v>20</v>
      </c>
      <c r="D40" t="s">
        <v>24</v>
      </c>
    </row>
    <row r="41" spans="2:4" customFormat="1" ht="15" customHeight="1" x14ac:dyDescent="0.25">
      <c r="B41" s="31" t="s">
        <v>20</v>
      </c>
      <c r="D41" t="s">
        <v>25</v>
      </c>
    </row>
    <row r="42" spans="2:4" customFormat="1" ht="15" customHeight="1" x14ac:dyDescent="0.25">
      <c r="B42" s="32" t="s">
        <v>20</v>
      </c>
      <c r="D42" t="s">
        <v>26</v>
      </c>
    </row>
    <row r="43" spans="2:4" customFormat="1" ht="15" customHeight="1" x14ac:dyDescent="0.25">
      <c r="B43" s="33" t="s">
        <v>27</v>
      </c>
      <c r="D43" t="s">
        <v>28</v>
      </c>
    </row>
    <row r="44" spans="2:4" customFormat="1" ht="15" customHeight="1" x14ac:dyDescent="0.25">
      <c r="B44" s="34" t="s">
        <v>27</v>
      </c>
      <c r="D44" t="s">
        <v>29</v>
      </c>
    </row>
    <row r="45" spans="2:4" customFormat="1" ht="15" customHeight="1" x14ac:dyDescent="0.25">
      <c r="B45" s="35" t="s">
        <v>27</v>
      </c>
      <c r="D45" t="s">
        <v>30</v>
      </c>
    </row>
    <row r="46" spans="2:4" customFormat="1" ht="15" customHeight="1" x14ac:dyDescent="0.25">
      <c r="B46" s="36" t="s">
        <v>27</v>
      </c>
      <c r="C46" s="37"/>
      <c r="D46" s="37" t="s">
        <v>31</v>
      </c>
    </row>
    <row r="47" spans="2:4" ht="15" customHeight="1" x14ac:dyDescent="0.25">
      <c r="D47" s="38"/>
    </row>
    <row r="48" spans="2:4" ht="15" customHeight="1" x14ac:dyDescent="0.25">
      <c r="B48" s="4"/>
    </row>
    <row r="49" spans="2:4" ht="15" customHeight="1" x14ac:dyDescent="0.25">
      <c r="B49" s="39"/>
    </row>
    <row r="50" spans="2:4" ht="15" customHeight="1" x14ac:dyDescent="0.25">
      <c r="B50" s="39"/>
    </row>
    <row r="51" spans="2:4" ht="15" customHeight="1" x14ac:dyDescent="0.25">
      <c r="B51" s="39"/>
    </row>
    <row r="52" spans="2:4" ht="15" customHeight="1" x14ac:dyDescent="0.25">
      <c r="B52" s="39"/>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KZ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2" width="24.5703125" hidden="1" customWidth="1"/>
    <col min="313"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WPD East Midlands - April 21 Prices</v>
      </c>
    </row>
    <row r="3" spans="1:27" s="5" customFormat="1" x14ac:dyDescent="0.25">
      <c r="A3" s="5" t="str">
        <f>Cover!D2&amp;" - "&amp;Cover!D8&amp;" v"&amp;Cover!D10&amp;" - "&amp;Cover!D19</f>
        <v>CDCM charging model - Release for charge setting v5 - 2021/22</v>
      </c>
    </row>
    <row r="4" spans="1:27" x14ac:dyDescent="0.25">
      <c r="A4" s="12" t="str">
        <f>H58 &amp; IF(H58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105"/>
      <c r="D7" s="106"/>
      <c r="E7" s="106"/>
      <c r="F7" s="105"/>
      <c r="G7" s="105"/>
      <c r="H7" s="105"/>
      <c r="I7" s="105"/>
      <c r="J7" s="105"/>
      <c r="K7" s="105"/>
      <c r="L7" s="105"/>
      <c r="M7" s="105"/>
      <c r="N7" s="105"/>
      <c r="O7" s="105"/>
      <c r="P7" s="105"/>
      <c r="Q7" s="105"/>
      <c r="R7" s="105"/>
      <c r="S7" s="105"/>
      <c r="T7" s="105"/>
      <c r="U7" s="105"/>
      <c r="V7" s="105"/>
      <c r="W7" s="105"/>
      <c r="X7" s="105"/>
      <c r="Y7" s="105"/>
      <c r="Z7" s="105"/>
      <c r="AA7" s="105"/>
    </row>
    <row r="9" spans="1:27" x14ac:dyDescent="0.25">
      <c r="C9" s="29" t="s">
        <v>366</v>
      </c>
      <c r="E9"/>
    </row>
    <row r="10" spans="1:27" x14ac:dyDescent="0.25">
      <c r="C10" s="29" t="s">
        <v>367</v>
      </c>
      <c r="E10"/>
    </row>
    <row r="11" spans="1:27" x14ac:dyDescent="0.25">
      <c r="C11" s="29" t="s">
        <v>368</v>
      </c>
      <c r="E11"/>
    </row>
    <row r="12" spans="1:27" x14ac:dyDescent="0.25">
      <c r="C12" s="29" t="s">
        <v>369</v>
      </c>
      <c r="E12"/>
    </row>
    <row r="13" spans="1:27" x14ac:dyDescent="0.25">
      <c r="C13" s="29"/>
      <c r="E13"/>
    </row>
    <row r="14" spans="1:27" x14ac:dyDescent="0.25">
      <c r="C14" s="29" t="s">
        <v>370</v>
      </c>
      <c r="E14"/>
    </row>
    <row r="15" spans="1:27" x14ac:dyDescent="0.25">
      <c r="C15" s="29" t="s">
        <v>371</v>
      </c>
      <c r="E15"/>
    </row>
    <row r="17" spans="2:27" x14ac:dyDescent="0.25">
      <c r="B17" s="30" t="s">
        <v>372</v>
      </c>
      <c r="C17" s="105"/>
      <c r="D17" s="106"/>
      <c r="E17" s="106"/>
      <c r="F17" s="105"/>
      <c r="G17" s="105"/>
      <c r="H17" s="105"/>
      <c r="I17" s="105"/>
      <c r="J17" s="105"/>
      <c r="K17" s="105"/>
      <c r="L17" s="105"/>
      <c r="M17" s="105"/>
      <c r="N17" s="105"/>
      <c r="O17" s="105"/>
      <c r="P17" s="105"/>
      <c r="Q17" s="105"/>
      <c r="R17" s="105"/>
      <c r="S17" s="105"/>
      <c r="T17" s="105"/>
      <c r="U17" s="105"/>
      <c r="V17" s="105"/>
      <c r="W17" s="105"/>
      <c r="X17" s="105"/>
      <c r="Y17" s="105"/>
      <c r="Z17" s="105"/>
      <c r="AA17" s="105"/>
    </row>
    <row r="18" spans="2:27" x14ac:dyDescent="0.25">
      <c r="C18" s="88"/>
    </row>
    <row r="19" spans="2:27" x14ac:dyDescent="0.25">
      <c r="C19" s="31" t="str">
        <f ca="1">INDEX('Version control'!$H$34:$H$57,MATCH($A$1,'Version control'!$F$34:$F$57,0),1)&amp;"-A: Adjustments to standing charges"</f>
        <v>Section 101-A: Adjustments to standing charges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2:27" x14ac:dyDescent="0.25">
      <c r="C20" s="88"/>
    </row>
    <row r="21" spans="2:27" x14ac:dyDescent="0.25">
      <c r="D21" s="29" t="s">
        <v>373</v>
      </c>
      <c r="F21" s="2"/>
    </row>
    <row r="22" spans="2:27" x14ac:dyDescent="0.25">
      <c r="D22" s="88"/>
      <c r="F22" s="2"/>
    </row>
    <row r="23" spans="2:27" x14ac:dyDescent="0.25">
      <c r="D23"/>
      <c r="E23" s="32" t="s">
        <v>374</v>
      </c>
      <c r="F23" s="32"/>
      <c r="I23" t="s">
        <v>154</v>
      </c>
      <c r="AA23" t="s">
        <v>203</v>
      </c>
    </row>
    <row r="24" spans="2:27" x14ac:dyDescent="0.25">
      <c r="D24"/>
      <c r="E24" s="29" t="s">
        <v>375</v>
      </c>
    </row>
    <row r="25" spans="2:27" x14ac:dyDescent="0.25">
      <c r="D25" s="88"/>
      <c r="F25" s="23" t="s">
        <v>189</v>
      </c>
      <c r="G25" s="23" t="s">
        <v>167</v>
      </c>
      <c r="H25" s="23"/>
      <c r="I25" s="23"/>
      <c r="J25" s="107">
        <f>'Fixed inputs'!J88</f>
        <v>0</v>
      </c>
      <c r="K25" s="107">
        <f>'Fixed inputs'!K88</f>
        <v>0</v>
      </c>
      <c r="L25" s="107">
        <f>'Fixed inputs'!L88</f>
        <v>0</v>
      </c>
      <c r="M25" s="107">
        <f>'Fixed inputs'!M88</f>
        <v>0</v>
      </c>
      <c r="N25" s="107">
        <f>'Fixed inputs'!N88</f>
        <v>0</v>
      </c>
      <c r="O25" s="107">
        <f>'Fixed inputs'!O88</f>
        <v>0</v>
      </c>
      <c r="P25" s="107">
        <f>'Fixed inputs'!P88</f>
        <v>0</v>
      </c>
      <c r="Q25" s="107">
        <f>'Fixed inputs'!Q88</f>
        <v>0</v>
      </c>
      <c r="R25" s="65"/>
      <c r="S25" s="65"/>
      <c r="T25" s="65"/>
      <c r="U25" s="65"/>
      <c r="V25" s="65"/>
      <c r="W25" s="65"/>
      <c r="X25" s="65"/>
      <c r="Y25" s="65"/>
    </row>
    <row r="26" spans="2:27" x14ac:dyDescent="0.25">
      <c r="D26" s="88"/>
      <c r="F26" t="s">
        <v>191</v>
      </c>
      <c r="G26" t="s">
        <v>167</v>
      </c>
      <c r="J26" s="25">
        <f>'Fixed inputs'!J89</f>
        <v>0</v>
      </c>
      <c r="K26" s="25">
        <f>'Fixed inputs'!K89</f>
        <v>0</v>
      </c>
      <c r="L26" s="25">
        <f>'Fixed inputs'!L89</f>
        <v>0</v>
      </c>
      <c r="M26" s="25">
        <f>'Fixed inputs'!M89</f>
        <v>0</v>
      </c>
      <c r="N26" s="25">
        <f>'Fixed inputs'!N89</f>
        <v>0</v>
      </c>
      <c r="O26" s="25">
        <f>'Fixed inputs'!O89</f>
        <v>0</v>
      </c>
      <c r="P26" s="25">
        <f>'Fixed inputs'!P89</f>
        <v>0</v>
      </c>
      <c r="Q26" s="25">
        <f>'Fixed inputs'!Q89</f>
        <v>0</v>
      </c>
      <c r="R26" s="66"/>
      <c r="S26" s="66"/>
      <c r="T26" s="66"/>
      <c r="U26" s="66"/>
      <c r="V26" s="66"/>
      <c r="W26" s="66"/>
      <c r="X26" s="66"/>
      <c r="Y26" s="66"/>
    </row>
    <row r="27" spans="2:27" x14ac:dyDescent="0.25">
      <c r="D27" s="88"/>
      <c r="F27" t="s">
        <v>192</v>
      </c>
      <c r="G27" t="s">
        <v>167</v>
      </c>
      <c r="J27" s="25">
        <f>'Fixed inputs'!J90</f>
        <v>0</v>
      </c>
      <c r="K27" s="25">
        <f>'Fixed inputs'!K90</f>
        <v>0</v>
      </c>
      <c r="L27" s="25">
        <f>'Fixed inputs'!L90</f>
        <v>0</v>
      </c>
      <c r="M27" s="25">
        <f>'Fixed inputs'!M90</f>
        <v>0</v>
      </c>
      <c r="N27" s="25">
        <f>'Fixed inputs'!N90</f>
        <v>0</v>
      </c>
      <c r="O27" s="25">
        <f>'Fixed inputs'!O90</f>
        <v>0</v>
      </c>
      <c r="P27" s="25">
        <f>'Fixed inputs'!P90</f>
        <v>0</v>
      </c>
      <c r="Q27" s="25">
        <f>'Fixed inputs'!Q90</f>
        <v>0</v>
      </c>
      <c r="R27" s="66"/>
      <c r="S27" s="66"/>
      <c r="T27" s="66"/>
      <c r="U27" s="66"/>
      <c r="V27" s="66"/>
      <c r="W27" s="66"/>
      <c r="X27" s="66"/>
      <c r="Y27" s="66"/>
    </row>
    <row r="28" spans="2:27" x14ac:dyDescent="0.25">
      <c r="D28" s="88"/>
      <c r="F28" t="s">
        <v>193</v>
      </c>
      <c r="G28" t="s">
        <v>167</v>
      </c>
      <c r="J28" s="25">
        <f>'Fixed inputs'!J91</f>
        <v>0</v>
      </c>
      <c r="K28" s="25">
        <f>'Fixed inputs'!K91</f>
        <v>0</v>
      </c>
      <c r="L28" s="25">
        <f>'Fixed inputs'!L91</f>
        <v>0</v>
      </c>
      <c r="M28" s="25">
        <f>'Fixed inputs'!M91</f>
        <v>0</v>
      </c>
      <c r="N28" s="25">
        <f>'Fixed inputs'!N91</f>
        <v>0</v>
      </c>
      <c r="O28" s="25">
        <f>'Fixed inputs'!O91</f>
        <v>0</v>
      </c>
      <c r="P28" s="25">
        <f>'Fixed inputs'!P91</f>
        <v>0</v>
      </c>
      <c r="Q28" s="25">
        <f>'Fixed inputs'!Q91</f>
        <v>0</v>
      </c>
      <c r="R28" s="66"/>
      <c r="S28" s="66"/>
      <c r="T28" s="66"/>
      <c r="U28" s="66"/>
      <c r="V28" s="66"/>
      <c r="W28" s="66"/>
      <c r="X28" s="66"/>
      <c r="Y28" s="66"/>
    </row>
    <row r="29" spans="2:27" x14ac:dyDescent="0.25">
      <c r="D29" s="88"/>
      <c r="F29" t="s">
        <v>194</v>
      </c>
      <c r="G29" t="s">
        <v>167</v>
      </c>
      <c r="J29" s="25">
        <f>'Fixed inputs'!J92</f>
        <v>0</v>
      </c>
      <c r="K29" s="25">
        <f>'Fixed inputs'!K92</f>
        <v>0</v>
      </c>
      <c r="L29" s="25">
        <f>'Fixed inputs'!L92</f>
        <v>0</v>
      </c>
      <c r="M29" s="25">
        <f>'Fixed inputs'!M92</f>
        <v>0</v>
      </c>
      <c r="N29" s="25">
        <f>'Fixed inputs'!N92</f>
        <v>0</v>
      </c>
      <c r="O29" s="25">
        <f>'Fixed inputs'!O92</f>
        <v>0</v>
      </c>
      <c r="P29" s="25">
        <f>'Fixed inputs'!P92</f>
        <v>0.2</v>
      </c>
      <c r="Q29" s="25">
        <f>'Fixed inputs'!Q92</f>
        <v>0</v>
      </c>
      <c r="R29" s="66"/>
      <c r="S29" s="66"/>
      <c r="T29" s="66"/>
      <c r="U29" s="66"/>
      <c r="V29" s="66"/>
      <c r="W29" s="66"/>
      <c r="X29" s="66"/>
      <c r="Y29" s="66"/>
    </row>
    <row r="30" spans="2:27" x14ac:dyDescent="0.25">
      <c r="D30" s="88"/>
      <c r="F30" t="s">
        <v>195</v>
      </c>
      <c r="G30" t="s">
        <v>167</v>
      </c>
      <c r="J30" s="25">
        <f>'Fixed inputs'!J93</f>
        <v>0</v>
      </c>
      <c r="K30" s="25">
        <f>'Fixed inputs'!K93</f>
        <v>0</v>
      </c>
      <c r="L30" s="25">
        <f>'Fixed inputs'!L93</f>
        <v>0</v>
      </c>
      <c r="M30" s="25">
        <f>'Fixed inputs'!M93</f>
        <v>0</v>
      </c>
      <c r="N30" s="25">
        <f>'Fixed inputs'!N93</f>
        <v>0</v>
      </c>
      <c r="O30" s="25">
        <f>'Fixed inputs'!O93</f>
        <v>0</v>
      </c>
      <c r="P30" s="25">
        <f>'Fixed inputs'!P93</f>
        <v>1</v>
      </c>
      <c r="Q30" s="25">
        <f>'Fixed inputs'!Q93</f>
        <v>0</v>
      </c>
      <c r="R30" s="66"/>
      <c r="S30" s="66"/>
      <c r="T30" s="66"/>
      <c r="U30" s="66"/>
      <c r="V30" s="66"/>
      <c r="W30" s="66"/>
      <c r="X30" s="66"/>
      <c r="Y30" s="66"/>
    </row>
    <row r="31" spans="2:27" x14ac:dyDescent="0.25">
      <c r="D31" s="88"/>
      <c r="F31" t="s">
        <v>196</v>
      </c>
      <c r="G31" t="s">
        <v>167</v>
      </c>
      <c r="J31" s="25">
        <f>'Fixed inputs'!J94</f>
        <v>0</v>
      </c>
      <c r="K31" s="25">
        <f>'Fixed inputs'!K94</f>
        <v>0</v>
      </c>
      <c r="L31" s="25">
        <f>'Fixed inputs'!L94</f>
        <v>0</v>
      </c>
      <c r="M31" s="25">
        <f>'Fixed inputs'!M94</f>
        <v>0</v>
      </c>
      <c r="N31" s="25">
        <f>'Fixed inputs'!N94</f>
        <v>0</v>
      </c>
      <c r="O31" s="25">
        <f>'Fixed inputs'!O94</f>
        <v>0</v>
      </c>
      <c r="P31" s="25">
        <f>'Fixed inputs'!P94</f>
        <v>0</v>
      </c>
      <c r="Q31" s="25">
        <f>'Fixed inputs'!Q94</f>
        <v>0</v>
      </c>
      <c r="R31" s="66"/>
      <c r="S31" s="66"/>
      <c r="T31" s="66"/>
      <c r="U31" s="66"/>
      <c r="V31" s="66"/>
      <c r="W31" s="66"/>
      <c r="X31" s="66"/>
      <c r="Y31" s="66"/>
    </row>
    <row r="32" spans="2:27" x14ac:dyDescent="0.25">
      <c r="D32" s="88"/>
      <c r="F32" t="s">
        <v>197</v>
      </c>
      <c r="G32" t="s">
        <v>167</v>
      </c>
      <c r="J32" s="25">
        <f>'Fixed inputs'!J95</f>
        <v>0</v>
      </c>
      <c r="K32" s="25">
        <f>'Fixed inputs'!K95</f>
        <v>0</v>
      </c>
      <c r="L32" s="25">
        <f>'Fixed inputs'!L95</f>
        <v>0</v>
      </c>
      <c r="M32" s="25">
        <f>'Fixed inputs'!M95</f>
        <v>0</v>
      </c>
      <c r="N32" s="25">
        <f>'Fixed inputs'!N95</f>
        <v>0.2</v>
      </c>
      <c r="O32" s="25">
        <f>'Fixed inputs'!O95</f>
        <v>1</v>
      </c>
      <c r="P32" s="25">
        <f>'Fixed inputs'!P95</f>
        <v>1</v>
      </c>
      <c r="Q32" s="25">
        <f>'Fixed inputs'!Q95</f>
        <v>0</v>
      </c>
      <c r="R32" s="66"/>
      <c r="S32" s="66"/>
      <c r="T32" s="66"/>
      <c r="U32" s="66"/>
      <c r="V32" s="66"/>
      <c r="W32" s="66"/>
      <c r="X32" s="66"/>
      <c r="Y32" s="66"/>
    </row>
    <row r="33" spans="4:27" x14ac:dyDescent="0.25">
      <c r="D33" s="88"/>
      <c r="F33" t="s">
        <v>198</v>
      </c>
      <c r="G33" t="s">
        <v>167</v>
      </c>
      <c r="J33" s="25">
        <f>'Fixed inputs'!J96</f>
        <v>0</v>
      </c>
      <c r="K33" s="25">
        <f>'Fixed inputs'!K96</f>
        <v>0</v>
      </c>
      <c r="L33" s="25">
        <f>'Fixed inputs'!L96</f>
        <v>0</v>
      </c>
      <c r="M33" s="25">
        <f>'Fixed inputs'!M96</f>
        <v>0</v>
      </c>
      <c r="N33" s="25">
        <f>'Fixed inputs'!N96</f>
        <v>1</v>
      </c>
      <c r="O33" s="25">
        <f>'Fixed inputs'!O96</f>
        <v>1</v>
      </c>
      <c r="P33" s="25">
        <f>'Fixed inputs'!P96</f>
        <v>0</v>
      </c>
      <c r="Q33" s="25">
        <f>'Fixed inputs'!Q96</f>
        <v>0</v>
      </c>
      <c r="R33" s="66"/>
      <c r="S33" s="66"/>
      <c r="T33" s="66"/>
      <c r="U33" s="66"/>
      <c r="V33" s="66"/>
      <c r="W33" s="66"/>
      <c r="X33" s="66"/>
      <c r="Y33" s="66"/>
    </row>
    <row r="34" spans="4:27" x14ac:dyDescent="0.25">
      <c r="D34" s="88"/>
      <c r="F34" t="s">
        <v>199</v>
      </c>
      <c r="G34" t="s">
        <v>167</v>
      </c>
      <c r="J34" s="25">
        <f>'Fixed inputs'!J97</f>
        <v>1</v>
      </c>
      <c r="K34" s="25">
        <f>'Fixed inputs'!K97</f>
        <v>1</v>
      </c>
      <c r="L34" s="25">
        <f>'Fixed inputs'!L97</f>
        <v>1</v>
      </c>
      <c r="M34" s="25">
        <f>'Fixed inputs'!M97</f>
        <v>1</v>
      </c>
      <c r="N34" s="25">
        <f>'Fixed inputs'!N97</f>
        <v>1</v>
      </c>
      <c r="O34" s="25">
        <f>'Fixed inputs'!O97</f>
        <v>0</v>
      </c>
      <c r="P34" s="25">
        <f>'Fixed inputs'!P97</f>
        <v>0</v>
      </c>
      <c r="Q34" s="25">
        <f>'Fixed inputs'!Q97</f>
        <v>0</v>
      </c>
      <c r="R34" s="66"/>
      <c r="S34" s="66"/>
      <c r="T34" s="66"/>
      <c r="U34" s="66"/>
      <c r="V34" s="66"/>
      <c r="W34" s="66"/>
      <c r="X34" s="66"/>
      <c r="Y34" s="66"/>
    </row>
    <row r="35" spans="4:27" x14ac:dyDescent="0.25">
      <c r="D35" s="88"/>
      <c r="F35" t="s">
        <v>376</v>
      </c>
      <c r="G35" t="s">
        <v>167</v>
      </c>
      <c r="J35" s="66"/>
      <c r="K35" s="66"/>
      <c r="L35" s="66"/>
      <c r="M35" s="66"/>
      <c r="N35" s="66"/>
      <c r="O35" s="66"/>
      <c r="P35" s="66"/>
      <c r="Q35" s="66"/>
      <c r="R35" s="66"/>
      <c r="S35" s="66"/>
      <c r="T35" s="66"/>
      <c r="U35" s="66"/>
      <c r="V35" s="66"/>
      <c r="W35" s="66"/>
      <c r="X35" s="66"/>
      <c r="Y35" s="66"/>
    </row>
    <row r="36" spans="4:27" x14ac:dyDescent="0.25">
      <c r="D36" s="88"/>
      <c r="F36" s="37" t="s">
        <v>377</v>
      </c>
      <c r="G36" s="37" t="s">
        <v>167</v>
      </c>
      <c r="H36" s="37"/>
      <c r="I36" s="37"/>
      <c r="J36" s="68"/>
      <c r="K36" s="68"/>
      <c r="L36" s="68"/>
      <c r="M36" s="68"/>
      <c r="N36" s="68"/>
      <c r="O36" s="68"/>
      <c r="P36" s="68"/>
      <c r="Q36" s="68"/>
      <c r="R36" s="68"/>
      <c r="S36" s="68"/>
      <c r="T36" s="68"/>
      <c r="U36" s="68"/>
      <c r="V36" s="68"/>
      <c r="W36" s="68"/>
      <c r="X36" s="68"/>
      <c r="Y36" s="68"/>
    </row>
    <row r="37" spans="4:27" x14ac:dyDescent="0.25">
      <c r="D37" s="88"/>
      <c r="F37" s="2"/>
    </row>
    <row r="38" spans="4:27" x14ac:dyDescent="0.25">
      <c r="D38"/>
      <c r="E38" s="32" t="s">
        <v>281</v>
      </c>
      <c r="F38" s="2"/>
    </row>
    <row r="39" spans="4:27" x14ac:dyDescent="0.25">
      <c r="D39" s="88"/>
      <c r="E39"/>
      <c r="F39" s="28" t="s">
        <v>281</v>
      </c>
      <c r="G39" s="28" t="s">
        <v>167</v>
      </c>
      <c r="H39" s="25">
        <f>'Inputs by network level'!P17</f>
        <v>7.5044342711319545E-2</v>
      </c>
    </row>
    <row r="40" spans="4:27" x14ac:dyDescent="0.25">
      <c r="D40" s="88"/>
      <c r="F40" s="2"/>
    </row>
    <row r="41" spans="4:27" x14ac:dyDescent="0.25">
      <c r="D41"/>
      <c r="E41" s="32" t="s">
        <v>378</v>
      </c>
      <c r="F41" s="32"/>
    </row>
    <row r="42" spans="4:27" x14ac:dyDescent="0.25">
      <c r="D42"/>
      <c r="E42" s="29" t="s">
        <v>379</v>
      </c>
    </row>
    <row r="43" spans="4:27" x14ac:dyDescent="0.25">
      <c r="D43" s="88"/>
      <c r="F43" s="23" t="s">
        <v>189</v>
      </c>
      <c r="G43" s="23" t="s">
        <v>167</v>
      </c>
      <c r="H43" s="23"/>
      <c r="I43" s="23"/>
      <c r="J43" s="65"/>
      <c r="K43" s="65"/>
      <c r="L43" s="65"/>
      <c r="M43" s="65"/>
      <c r="N43" s="65"/>
      <c r="O43" s="65"/>
      <c r="P43" s="65"/>
      <c r="Q43" s="65"/>
      <c r="R43" s="65"/>
      <c r="S43" s="65"/>
      <c r="T43" s="65"/>
      <c r="U43" s="65"/>
      <c r="V43" s="65"/>
      <c r="W43" s="65"/>
      <c r="X43" s="65"/>
      <c r="Y43" s="65"/>
    </row>
    <row r="44" spans="4:27" x14ac:dyDescent="0.25">
      <c r="D44" s="88"/>
      <c r="F44" t="s">
        <v>191</v>
      </c>
      <c r="G44" t="s">
        <v>167</v>
      </c>
      <c r="J44" s="66"/>
      <c r="K44" s="66"/>
      <c r="L44" s="66"/>
      <c r="M44" s="66"/>
      <c r="N44" s="66"/>
      <c r="O44" s="66"/>
      <c r="P44" s="66"/>
      <c r="Q44" s="66"/>
      <c r="R44" s="66"/>
      <c r="S44" s="66"/>
      <c r="T44" s="66"/>
      <c r="U44" s="66"/>
      <c r="V44" s="66"/>
      <c r="W44" s="66"/>
      <c r="X44" s="66"/>
      <c r="Y44" s="66"/>
    </row>
    <row r="45" spans="4:27" x14ac:dyDescent="0.25">
      <c r="D45" s="88"/>
      <c r="F45" s="108" t="s">
        <v>192</v>
      </c>
      <c r="G45" s="108" t="s">
        <v>167</v>
      </c>
      <c r="H45" s="108"/>
      <c r="I45" s="108" t="s">
        <v>154</v>
      </c>
      <c r="J45" s="109">
        <f>IF($H$39 = 0, J27, J29 * $H$39)</f>
        <v>0</v>
      </c>
      <c r="K45" s="109">
        <f t="shared" ref="K45:Q45" si="0">IF($H$39 = 0, K27, K29 * $H$39)</f>
        <v>0</v>
      </c>
      <c r="L45" s="109">
        <f t="shared" si="0"/>
        <v>0</v>
      </c>
      <c r="M45" s="109">
        <f t="shared" si="0"/>
        <v>0</v>
      </c>
      <c r="N45" s="109">
        <f t="shared" si="0"/>
        <v>0</v>
      </c>
      <c r="O45" s="109">
        <f t="shared" si="0"/>
        <v>0</v>
      </c>
      <c r="P45" s="109">
        <f t="shared" si="0"/>
        <v>1.5008868542263909E-2</v>
      </c>
      <c r="Q45" s="109">
        <f t="shared" si="0"/>
        <v>0</v>
      </c>
      <c r="R45" s="110"/>
      <c r="S45" s="110"/>
      <c r="T45" s="110"/>
      <c r="U45" s="110"/>
      <c r="V45" s="110"/>
      <c r="W45" s="110"/>
      <c r="X45" s="110"/>
      <c r="Y45" s="110"/>
      <c r="AA45" t="s">
        <v>380</v>
      </c>
    </row>
    <row r="46" spans="4:27" x14ac:dyDescent="0.25">
      <c r="D46" s="88"/>
      <c r="F46" t="s">
        <v>193</v>
      </c>
      <c r="G46" t="s">
        <v>167</v>
      </c>
      <c r="J46" s="111">
        <f t="shared" ref="J46:Q46" si="1">J28</f>
        <v>0</v>
      </c>
      <c r="K46" s="111">
        <f t="shared" si="1"/>
        <v>0</v>
      </c>
      <c r="L46" s="111">
        <f t="shared" si="1"/>
        <v>0</v>
      </c>
      <c r="M46" s="111">
        <f t="shared" si="1"/>
        <v>0</v>
      </c>
      <c r="N46" s="111">
        <f t="shared" si="1"/>
        <v>0</v>
      </c>
      <c r="O46" s="111">
        <f t="shared" si="1"/>
        <v>0</v>
      </c>
      <c r="P46" s="111">
        <f t="shared" si="1"/>
        <v>0</v>
      </c>
      <c r="Q46" s="111">
        <f t="shared" si="1"/>
        <v>0</v>
      </c>
      <c r="R46" s="66"/>
      <c r="S46" s="66"/>
      <c r="T46" s="66"/>
      <c r="U46" s="66"/>
      <c r="V46" s="66"/>
      <c r="W46" s="66"/>
      <c r="X46" s="66"/>
      <c r="Y46" s="66"/>
    </row>
    <row r="47" spans="4:27" x14ac:dyDescent="0.25">
      <c r="D47" s="88"/>
      <c r="F47" t="s">
        <v>194</v>
      </c>
      <c r="G47" t="s">
        <v>167</v>
      </c>
      <c r="J47" s="111">
        <f t="shared" ref="J47:Q47" si="2">J29</f>
        <v>0</v>
      </c>
      <c r="K47" s="111">
        <f t="shared" si="2"/>
        <v>0</v>
      </c>
      <c r="L47" s="111">
        <f t="shared" si="2"/>
        <v>0</v>
      </c>
      <c r="M47" s="111">
        <f t="shared" si="2"/>
        <v>0</v>
      </c>
      <c r="N47" s="111">
        <f t="shared" si="2"/>
        <v>0</v>
      </c>
      <c r="O47" s="111">
        <f t="shared" si="2"/>
        <v>0</v>
      </c>
      <c r="P47" s="111">
        <f t="shared" si="2"/>
        <v>0.2</v>
      </c>
      <c r="Q47" s="111">
        <f t="shared" si="2"/>
        <v>0</v>
      </c>
      <c r="R47" s="66"/>
      <c r="S47" s="66"/>
      <c r="T47" s="66"/>
      <c r="U47" s="66"/>
      <c r="V47" s="66"/>
      <c r="W47" s="66"/>
      <c r="X47" s="66"/>
      <c r="Y47" s="66"/>
    </row>
    <row r="48" spans="4:27" x14ac:dyDescent="0.25">
      <c r="D48" s="88"/>
      <c r="F48" t="s">
        <v>195</v>
      </c>
      <c r="G48" t="s">
        <v>167</v>
      </c>
      <c r="J48" s="111">
        <f t="shared" ref="J48:Q48" si="3">J30</f>
        <v>0</v>
      </c>
      <c r="K48" s="111">
        <f t="shared" si="3"/>
        <v>0</v>
      </c>
      <c r="L48" s="111">
        <f t="shared" si="3"/>
        <v>0</v>
      </c>
      <c r="M48" s="111">
        <f t="shared" si="3"/>
        <v>0</v>
      </c>
      <c r="N48" s="111">
        <f t="shared" si="3"/>
        <v>0</v>
      </c>
      <c r="O48" s="111">
        <f t="shared" si="3"/>
        <v>0</v>
      </c>
      <c r="P48" s="111">
        <f t="shared" si="3"/>
        <v>1</v>
      </c>
      <c r="Q48" s="111">
        <f t="shared" si="3"/>
        <v>0</v>
      </c>
      <c r="R48" s="66"/>
      <c r="S48" s="66"/>
      <c r="T48" s="66"/>
      <c r="U48" s="66"/>
      <c r="V48" s="66"/>
      <c r="W48" s="66"/>
      <c r="X48" s="66"/>
      <c r="Y48" s="66"/>
    </row>
    <row r="49" spans="2:27" x14ac:dyDescent="0.25">
      <c r="D49" s="88"/>
      <c r="F49" s="108" t="s">
        <v>196</v>
      </c>
      <c r="G49" s="108" t="s">
        <v>167</v>
      </c>
      <c r="H49" s="108"/>
      <c r="I49" s="108" t="s">
        <v>154</v>
      </c>
      <c r="J49" s="109">
        <f t="shared" ref="J49:Q49" si="4">J30</f>
        <v>0</v>
      </c>
      <c r="K49" s="109">
        <f t="shared" si="4"/>
        <v>0</v>
      </c>
      <c r="L49" s="109">
        <f t="shared" si="4"/>
        <v>0</v>
      </c>
      <c r="M49" s="109">
        <f t="shared" si="4"/>
        <v>0</v>
      </c>
      <c r="N49" s="109">
        <f t="shared" si="4"/>
        <v>0</v>
      </c>
      <c r="O49" s="109">
        <f t="shared" si="4"/>
        <v>0</v>
      </c>
      <c r="P49" s="109">
        <f t="shared" si="4"/>
        <v>1</v>
      </c>
      <c r="Q49" s="109">
        <f t="shared" si="4"/>
        <v>0</v>
      </c>
      <c r="R49" s="110"/>
      <c r="S49" s="110"/>
      <c r="T49" s="110"/>
      <c r="U49" s="110"/>
      <c r="V49" s="110"/>
      <c r="W49" s="110"/>
      <c r="X49" s="110"/>
      <c r="Y49" s="110"/>
      <c r="AA49" t="s">
        <v>381</v>
      </c>
    </row>
    <row r="50" spans="2:27" x14ac:dyDescent="0.25">
      <c r="D50" s="88"/>
      <c r="F50" t="s">
        <v>197</v>
      </c>
      <c r="G50" t="s">
        <v>167</v>
      </c>
      <c r="J50" s="111">
        <f t="shared" ref="J50:Q50" si="5">J32</f>
        <v>0</v>
      </c>
      <c r="K50" s="111">
        <f t="shared" si="5"/>
        <v>0</v>
      </c>
      <c r="L50" s="111">
        <f t="shared" si="5"/>
        <v>0</v>
      </c>
      <c r="M50" s="111">
        <f t="shared" si="5"/>
        <v>0</v>
      </c>
      <c r="N50" s="111">
        <f t="shared" si="5"/>
        <v>0.2</v>
      </c>
      <c r="O50" s="111">
        <f t="shared" si="5"/>
        <v>1</v>
      </c>
      <c r="P50" s="111">
        <f t="shared" si="5"/>
        <v>1</v>
      </c>
      <c r="Q50" s="111">
        <f t="shared" si="5"/>
        <v>0</v>
      </c>
      <c r="R50" s="66"/>
      <c r="S50" s="66"/>
      <c r="T50" s="66"/>
      <c r="U50" s="66"/>
      <c r="V50" s="66"/>
      <c r="W50" s="66"/>
      <c r="X50" s="66"/>
      <c r="Y50" s="66"/>
    </row>
    <row r="51" spans="2:27" x14ac:dyDescent="0.25">
      <c r="D51" s="88"/>
      <c r="F51" t="s">
        <v>198</v>
      </c>
      <c r="G51" t="s">
        <v>167</v>
      </c>
      <c r="J51" s="111">
        <f t="shared" ref="J51:Q51" si="6">J33</f>
        <v>0</v>
      </c>
      <c r="K51" s="111">
        <f t="shared" si="6"/>
        <v>0</v>
      </c>
      <c r="L51" s="111">
        <f t="shared" si="6"/>
        <v>0</v>
      </c>
      <c r="M51" s="111">
        <f t="shared" si="6"/>
        <v>0</v>
      </c>
      <c r="N51" s="111">
        <f t="shared" si="6"/>
        <v>1</v>
      </c>
      <c r="O51" s="111">
        <f t="shared" si="6"/>
        <v>1</v>
      </c>
      <c r="P51" s="111">
        <f t="shared" si="6"/>
        <v>0</v>
      </c>
      <c r="Q51" s="111">
        <f t="shared" si="6"/>
        <v>0</v>
      </c>
      <c r="R51" s="66"/>
      <c r="S51" s="66"/>
      <c r="T51" s="66"/>
      <c r="U51" s="66"/>
      <c r="V51" s="66"/>
      <c r="W51" s="66"/>
      <c r="X51" s="66"/>
      <c r="Y51" s="66"/>
    </row>
    <row r="52" spans="2:27" x14ac:dyDescent="0.25">
      <c r="D52" s="88"/>
      <c r="F52" t="s">
        <v>199</v>
      </c>
      <c r="G52" t="s">
        <v>167</v>
      </c>
      <c r="J52" s="111">
        <f t="shared" ref="J52:Q52" si="7">J34</f>
        <v>1</v>
      </c>
      <c r="K52" s="111">
        <f t="shared" si="7"/>
        <v>1</v>
      </c>
      <c r="L52" s="111">
        <f t="shared" si="7"/>
        <v>1</v>
      </c>
      <c r="M52" s="111">
        <f t="shared" si="7"/>
        <v>1</v>
      </c>
      <c r="N52" s="111">
        <f t="shared" si="7"/>
        <v>1</v>
      </c>
      <c r="O52" s="111">
        <f t="shared" si="7"/>
        <v>0</v>
      </c>
      <c r="P52" s="111">
        <f t="shared" si="7"/>
        <v>0</v>
      </c>
      <c r="Q52" s="111">
        <f t="shared" si="7"/>
        <v>0</v>
      </c>
      <c r="R52" s="66"/>
      <c r="S52" s="66"/>
      <c r="T52" s="66"/>
      <c r="U52" s="66"/>
      <c r="V52" s="66"/>
      <c r="W52" s="66"/>
      <c r="X52" s="66"/>
      <c r="Y52" s="66"/>
    </row>
    <row r="53" spans="2:27" x14ac:dyDescent="0.25">
      <c r="D53" s="88"/>
      <c r="F53" t="s">
        <v>376</v>
      </c>
      <c r="G53" t="s">
        <v>167</v>
      </c>
      <c r="J53" s="66"/>
      <c r="K53" s="66"/>
      <c r="L53" s="66"/>
      <c r="M53" s="66"/>
      <c r="N53" s="66"/>
      <c r="O53" s="66"/>
      <c r="P53" s="66"/>
      <c r="Q53" s="66"/>
      <c r="R53" s="66"/>
      <c r="S53" s="66"/>
      <c r="T53" s="66"/>
      <c r="U53" s="66"/>
      <c r="V53" s="66"/>
      <c r="W53" s="66"/>
      <c r="X53" s="66"/>
      <c r="Y53" s="66"/>
    </row>
    <row r="54" spans="2:27" x14ac:dyDescent="0.25">
      <c r="D54" s="88"/>
      <c r="F54" s="37" t="s">
        <v>377</v>
      </c>
      <c r="G54" s="37" t="s">
        <v>167</v>
      </c>
      <c r="H54" s="37"/>
      <c r="I54" s="37"/>
      <c r="J54" s="68"/>
      <c r="K54" s="68"/>
      <c r="L54" s="68"/>
      <c r="M54" s="68"/>
      <c r="N54" s="68"/>
      <c r="O54" s="68"/>
      <c r="P54" s="68"/>
      <c r="Q54" s="68"/>
      <c r="R54" s="68"/>
      <c r="S54" s="68"/>
      <c r="T54" s="68"/>
      <c r="U54" s="68"/>
      <c r="V54" s="68"/>
      <c r="W54" s="68"/>
      <c r="X54" s="68"/>
      <c r="Y54" s="68"/>
    </row>
    <row r="55" spans="2:27" x14ac:dyDescent="0.25">
      <c r="C55" s="88"/>
    </row>
    <row r="56" spans="2:27" x14ac:dyDescent="0.25">
      <c r="B56" s="30" t="s">
        <v>231</v>
      </c>
      <c r="C56" s="30"/>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25">
      <c r="D57"/>
      <c r="E57"/>
    </row>
    <row r="58" spans="2:27" x14ac:dyDescent="0.25">
      <c r="D58"/>
      <c r="E58" t="s">
        <v>232</v>
      </c>
      <c r="G58" s="6" t="s">
        <v>55</v>
      </c>
      <c r="H58" s="26">
        <f t="array" ref="H58">SUM(IF(ISERROR(H25:Y54), 1))</f>
        <v>0</v>
      </c>
    </row>
    <row r="59" spans="2:27" x14ac:dyDescent="0.25">
      <c r="D59"/>
      <c r="E59"/>
    </row>
    <row r="60" spans="2:27" x14ac:dyDescent="0.25">
      <c r="B60" s="30" t="s">
        <v>106</v>
      </c>
      <c r="C60" s="104"/>
      <c r="D60" s="112"/>
      <c r="E60" s="112"/>
      <c r="F60" s="104"/>
      <c r="G60" s="104"/>
      <c r="H60" s="104"/>
      <c r="I60" s="104"/>
      <c r="J60" s="104"/>
      <c r="K60" s="104"/>
      <c r="L60" s="104"/>
      <c r="M60" s="104"/>
      <c r="N60" s="104"/>
      <c r="O60" s="104"/>
      <c r="P60" s="104"/>
      <c r="Q60" s="104"/>
      <c r="R60" s="104"/>
      <c r="S60" s="104"/>
      <c r="T60" s="104"/>
      <c r="U60" s="104"/>
      <c r="V60" s="104"/>
      <c r="W60" s="104"/>
      <c r="X60" s="104"/>
      <c r="Y60" s="104"/>
      <c r="Z60" s="105"/>
      <c r="AA60" s="105"/>
    </row>
  </sheetData>
  <sheetProtection sheet="1" objects="1" formatCells="0" formatColumns="0" formatRows="0" sort="0" autoFilter="0"/>
  <conditionalFormatting sqref="H58">
    <cfRule type="cellIs" dxfId="179" priority="10" operator="greaterThan">
      <formula>0</formula>
    </cfRule>
  </conditionalFormatting>
  <conditionalFormatting sqref="A4:I4 Z4:XFD4">
    <cfRule type="expression" dxfId="178" priority="9">
      <formula>LEFT($A$4,1) &lt;&gt; "0"</formula>
    </cfRule>
  </conditionalFormatting>
  <conditionalFormatting sqref="N4:P4">
    <cfRule type="expression" dxfId="177" priority="8">
      <formula>LEFT($A$4,1) &lt;&gt; "0"</formula>
    </cfRule>
  </conditionalFormatting>
  <conditionalFormatting sqref="L4:M4">
    <cfRule type="expression" dxfId="176" priority="7">
      <formula>LEFT($A$4,1) &lt;&gt; "0"</formula>
    </cfRule>
  </conditionalFormatting>
  <conditionalFormatting sqref="J4:K4">
    <cfRule type="expression" dxfId="175" priority="6">
      <formula>LEFT($A$4,1) &lt;&gt; "0"</formula>
    </cfRule>
  </conditionalFormatting>
  <conditionalFormatting sqref="Q4">
    <cfRule type="expression" dxfId="174" priority="5">
      <formula>LEFT($A$4,1) &lt;&gt; "0"</formula>
    </cfRule>
  </conditionalFormatting>
  <conditionalFormatting sqref="R4:S4">
    <cfRule type="expression" dxfId="173" priority="4">
      <formula>LEFT($A$4,1) &lt;&gt; "0"</formula>
    </cfRule>
  </conditionalFormatting>
  <conditionalFormatting sqref="T4:U4">
    <cfRule type="expression" dxfId="172" priority="3">
      <formula>LEFT($A$4,1) &lt;&gt; "0"</formula>
    </cfRule>
  </conditionalFormatting>
  <conditionalFormatting sqref="V4:W4">
    <cfRule type="expression" dxfId="171" priority="2">
      <formula>LEFT($A$4,1) &lt;&gt; "0"</formula>
    </cfRule>
  </conditionalFormatting>
  <conditionalFormatting sqref="X4:Y4">
    <cfRule type="expression" dxfId="17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JF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7109375" hidden="1"/>
  </cols>
  <sheetData>
    <row r="1" spans="1:23" s="1" customFormat="1" x14ac:dyDescent="0.25">
      <c r="A1" s="1" t="str">
        <f ca="1">MID(CELL("filename",A1),FIND("]",CELL("filename",A1))+1,255)</f>
        <v>Load &amp; loss characteristics</v>
      </c>
    </row>
    <row r="2" spans="1:23" s="1" customFormat="1" x14ac:dyDescent="0.25">
      <c r="A2" s="1" t="str">
        <f>Cover!D21&amp;" - "&amp;Cover!D23</f>
        <v>WPD East Midlands - April 21 Prices</v>
      </c>
    </row>
    <row r="3" spans="1:23" s="5" customFormat="1" x14ac:dyDescent="0.25">
      <c r="A3" s="5" t="str">
        <f>Cover!D2&amp;" - "&amp;Cover!D8&amp;" v"&amp;Cover!D10&amp;" - "&amp;Cover!D19</f>
        <v>CDCM charging model - Release for charge setting v5 - 2021/22</v>
      </c>
    </row>
    <row r="4" spans="1:23" x14ac:dyDescent="0.25">
      <c r="A4" s="12" t="str">
        <f>H183 &amp; IF(H183 = 1, " issue", " issues") &amp;" identified in checks on this sheet"</f>
        <v>0 issues identified in checks on this sheet</v>
      </c>
      <c r="B4" s="13"/>
      <c r="C4" s="13"/>
      <c r="D4" s="13"/>
      <c r="E4" s="13"/>
      <c r="F4" s="13"/>
      <c r="G4" s="13"/>
      <c r="H4" s="14"/>
      <c r="I4" s="14"/>
      <c r="J4" s="13"/>
    </row>
    <row r="5" spans="1:23" x14ac:dyDescent="0.25">
      <c r="B5" s="59" t="s">
        <v>142</v>
      </c>
      <c r="C5" s="60"/>
      <c r="D5" s="60"/>
      <c r="E5" s="60"/>
      <c r="F5" s="60"/>
      <c r="G5" s="61" t="s">
        <v>143</v>
      </c>
      <c r="H5" s="62" t="s">
        <v>144</v>
      </c>
      <c r="I5" s="113"/>
      <c r="J5" s="114" t="s">
        <v>189</v>
      </c>
      <c r="K5" s="114" t="s">
        <v>191</v>
      </c>
      <c r="L5" s="114" t="s">
        <v>192</v>
      </c>
      <c r="M5" s="114" t="s">
        <v>193</v>
      </c>
      <c r="N5" s="114" t="s">
        <v>194</v>
      </c>
      <c r="O5" s="114" t="s">
        <v>195</v>
      </c>
      <c r="P5" s="114" t="s">
        <v>196</v>
      </c>
      <c r="Q5" s="114" t="s">
        <v>197</v>
      </c>
      <c r="R5" s="114" t="s">
        <v>198</v>
      </c>
      <c r="S5" s="114" t="s">
        <v>199</v>
      </c>
      <c r="T5" s="114" t="s">
        <v>376</v>
      </c>
      <c r="U5" s="114" t="s">
        <v>377</v>
      </c>
      <c r="W5" s="60" t="s">
        <v>145</v>
      </c>
    </row>
    <row r="6" spans="1:23" x14ac:dyDescent="0.25">
      <c r="H6" s="3"/>
      <c r="I6" s="29"/>
      <c r="J6" s="3"/>
      <c r="K6" s="3"/>
      <c r="L6" s="3"/>
      <c r="M6" s="3"/>
      <c r="N6" s="3"/>
      <c r="O6" s="3"/>
      <c r="P6" s="3"/>
      <c r="Q6" s="3"/>
      <c r="R6" s="3"/>
      <c r="S6" s="3"/>
      <c r="T6" s="3"/>
      <c r="U6" s="3"/>
      <c r="W6" s="3"/>
    </row>
    <row r="7" spans="1:23" x14ac:dyDescent="0.25">
      <c r="B7" s="30" t="s">
        <v>10</v>
      </c>
      <c r="C7" s="30"/>
      <c r="D7" s="30"/>
      <c r="E7" s="30"/>
      <c r="F7" s="30"/>
      <c r="G7" s="30"/>
      <c r="H7" s="30"/>
      <c r="I7" s="30"/>
      <c r="J7" s="30"/>
      <c r="K7" s="30"/>
      <c r="L7" s="30"/>
      <c r="M7" s="30"/>
      <c r="N7" s="30"/>
      <c r="O7" s="30"/>
      <c r="P7" s="30"/>
      <c r="Q7" s="30"/>
      <c r="R7" s="30"/>
      <c r="S7" s="30"/>
      <c r="T7" s="30"/>
      <c r="U7" s="30"/>
      <c r="V7" s="30"/>
      <c r="W7" s="30"/>
    </row>
    <row r="9" spans="1:23" x14ac:dyDescent="0.25">
      <c r="C9" s="29" t="s">
        <v>382</v>
      </c>
    </row>
    <row r="10" spans="1:23" x14ac:dyDescent="0.25">
      <c r="C10" s="29" t="s">
        <v>383</v>
      </c>
    </row>
    <row r="11" spans="1:23" x14ac:dyDescent="0.25">
      <c r="C11" s="29" t="s">
        <v>384</v>
      </c>
    </row>
    <row r="13" spans="1:23" x14ac:dyDescent="0.25">
      <c r="B13" s="30" t="s">
        <v>385</v>
      </c>
      <c r="C13" s="30"/>
      <c r="D13" s="30"/>
      <c r="E13" s="30"/>
      <c r="F13" s="30"/>
      <c r="G13" s="30"/>
      <c r="H13" s="30"/>
      <c r="I13" s="30"/>
      <c r="J13" s="30"/>
      <c r="K13" s="30"/>
      <c r="L13" s="30"/>
      <c r="M13" s="30"/>
      <c r="N13" s="30"/>
      <c r="O13" s="30"/>
      <c r="P13" s="30"/>
      <c r="Q13" s="30"/>
      <c r="R13" s="30"/>
      <c r="S13" s="30"/>
      <c r="T13" s="30"/>
      <c r="U13" s="30"/>
      <c r="V13" s="30"/>
      <c r="W13" s="30"/>
    </row>
    <row r="14" spans="1:23" x14ac:dyDescent="0.25">
      <c r="H14" s="3"/>
      <c r="I14" s="3"/>
      <c r="J14" s="3"/>
      <c r="K14" s="3"/>
      <c r="L14" s="3"/>
      <c r="M14" s="3"/>
      <c r="N14" s="3"/>
      <c r="O14" s="3"/>
      <c r="P14" s="3"/>
      <c r="Q14" s="3"/>
      <c r="R14" s="3"/>
      <c r="S14" s="3"/>
      <c r="T14" s="3"/>
      <c r="U14" s="3"/>
      <c r="W14" s="3"/>
    </row>
    <row r="15" spans="1:23" x14ac:dyDescent="0.25">
      <c r="C15" s="29" t="s">
        <v>386</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31" t="str">
        <f ca="1">INDEX('Version control'!$H$34:$H$57,MATCH($A$1,'Version control'!$F$34:$F$57,0),1)&amp;"-A: Load characteristics"</f>
        <v>Section 102-A: Load characteristics</v>
      </c>
      <c r="D17" s="31"/>
      <c r="E17" s="31"/>
      <c r="F17" s="31"/>
      <c r="G17" s="31"/>
      <c r="H17" s="31"/>
      <c r="I17" s="31"/>
      <c r="J17" s="31"/>
      <c r="K17" s="31"/>
      <c r="L17" s="31"/>
      <c r="M17" s="31"/>
      <c r="N17" s="31"/>
      <c r="O17" s="31"/>
      <c r="P17" s="31"/>
      <c r="Q17" s="31"/>
      <c r="R17" s="31"/>
      <c r="S17" s="31"/>
      <c r="T17" s="31"/>
      <c r="U17" s="31"/>
      <c r="V17" s="31"/>
      <c r="W17" s="31"/>
    </row>
    <row r="18" spans="2:23" x14ac:dyDescent="0.25">
      <c r="H18" s="3"/>
      <c r="I18" s="3"/>
      <c r="J18" s="3"/>
      <c r="K18" s="3"/>
      <c r="L18" s="3"/>
      <c r="M18" s="3"/>
      <c r="N18" s="3"/>
      <c r="O18" s="3"/>
      <c r="P18" s="3"/>
      <c r="Q18" s="3"/>
      <c r="R18" s="3"/>
      <c r="S18" s="3"/>
      <c r="T18" s="3"/>
      <c r="U18" s="3"/>
      <c r="W18" s="3"/>
    </row>
    <row r="19" spans="2:23" x14ac:dyDescent="0.25">
      <c r="E19" t="s">
        <v>387</v>
      </c>
      <c r="F19" s="115"/>
      <c r="G19" s="13" t="s">
        <v>167</v>
      </c>
      <c r="H19" s="3"/>
      <c r="I19" s="3"/>
      <c r="J19" s="94"/>
      <c r="K19" s="116">
        <f>'Inputs by network level'!K15</f>
        <v>2.4713742436156094E-2</v>
      </c>
      <c r="L19" s="116">
        <f>'Inputs by network level'!L15</f>
        <v>4.5013478235986115E-2</v>
      </c>
      <c r="M19" s="94"/>
      <c r="N19" s="116">
        <f>'Inputs by network level'!N15</f>
        <v>7.9017642685410783E-2</v>
      </c>
      <c r="O19" s="94"/>
      <c r="P19" s="94"/>
      <c r="Q19" s="116">
        <f>'Inputs by network level'!Q15</f>
        <v>0.34000000000000008</v>
      </c>
      <c r="R19" s="94"/>
      <c r="S19" s="94"/>
      <c r="T19" s="66"/>
      <c r="U19" s="66"/>
    </row>
    <row r="20" spans="2:23" x14ac:dyDescent="0.25">
      <c r="E20" t="s">
        <v>243</v>
      </c>
      <c r="F20" s="115"/>
      <c r="G20" s="13" t="s">
        <v>167</v>
      </c>
      <c r="H20" s="3"/>
      <c r="I20" s="3"/>
      <c r="J20" s="117">
        <f t="shared" ref="J20" si="0">IF(I20 = "", 1, I20 / (1 + J19))</f>
        <v>1</v>
      </c>
      <c r="K20" s="117">
        <f>IF(J20 = "", 1, J20 / (1 + K19))</f>
        <v>0.97588229628168977</v>
      </c>
      <c r="L20" s="117">
        <f t="shared" ref="L20:S20" si="1">IF(K20 = "", 1, K20 / (1 + L19))</f>
        <v>0.93384661213079101</v>
      </c>
      <c r="M20" s="117">
        <f t="shared" si="1"/>
        <v>0.93384661213079101</v>
      </c>
      <c r="N20" s="117">
        <f t="shared" si="1"/>
        <v>0.8654600028658247</v>
      </c>
      <c r="O20" s="117">
        <f t="shared" si="1"/>
        <v>0.8654600028658247</v>
      </c>
      <c r="P20" s="117">
        <f t="shared" si="1"/>
        <v>0.8654600028658247</v>
      </c>
      <c r="Q20" s="117">
        <f t="shared" si="1"/>
        <v>0.64586567378046611</v>
      </c>
      <c r="R20" s="117">
        <f t="shared" si="1"/>
        <v>0.64586567378046611</v>
      </c>
      <c r="S20" s="117">
        <f t="shared" si="1"/>
        <v>0.64586567378046611</v>
      </c>
      <c r="T20" s="66"/>
      <c r="U20" s="66"/>
    </row>
    <row r="21" spans="2:23" x14ac:dyDescent="0.25">
      <c r="E21" t="s">
        <v>388</v>
      </c>
      <c r="F21" s="115"/>
      <c r="G21" s="13" t="s">
        <v>167</v>
      </c>
      <c r="H21" s="3"/>
      <c r="I21" s="3"/>
      <c r="J21" s="117">
        <f>1 / J20 - 1</f>
        <v>0</v>
      </c>
      <c r="K21" s="117">
        <f t="shared" ref="K21:S21" si="2">1 / K20 - 1</f>
        <v>2.4713742436156094E-2</v>
      </c>
      <c r="L21" s="117">
        <f t="shared" si="2"/>
        <v>7.0839672179421997E-2</v>
      </c>
      <c r="M21" s="117">
        <f t="shared" si="2"/>
        <v>7.0839672179421997E-2</v>
      </c>
      <c r="N21" s="117">
        <f t="shared" si="2"/>
        <v>0.15545489876905783</v>
      </c>
      <c r="O21" s="117">
        <f t="shared" si="2"/>
        <v>0.15545489876905783</v>
      </c>
      <c r="P21" s="117">
        <f t="shared" si="2"/>
        <v>0.15545489876905783</v>
      </c>
      <c r="Q21" s="117">
        <f t="shared" si="2"/>
        <v>0.54830956435053779</v>
      </c>
      <c r="R21" s="117">
        <f t="shared" si="2"/>
        <v>0.54830956435053779</v>
      </c>
      <c r="S21" s="117">
        <f t="shared" si="2"/>
        <v>0.54830956435053779</v>
      </c>
      <c r="T21" s="66"/>
      <c r="U21" s="66"/>
    </row>
    <row r="22" spans="2:23" x14ac:dyDescent="0.25">
      <c r="E22" t="s">
        <v>389</v>
      </c>
      <c r="F22" s="115"/>
      <c r="G22" s="13" t="s">
        <v>167</v>
      </c>
      <c r="H22" s="3"/>
      <c r="I22" s="3"/>
      <c r="J22" s="94"/>
      <c r="K22" s="94"/>
      <c r="L22" s="94"/>
      <c r="M22" s="94"/>
      <c r="N22" s="94"/>
      <c r="O22" s="94"/>
      <c r="P22" s="117">
        <f>M21</f>
        <v>7.0839672179421997E-2</v>
      </c>
      <c r="Q22" s="94"/>
      <c r="R22" s="94"/>
      <c r="S22" s="94"/>
      <c r="T22" s="66"/>
      <c r="U22" s="66"/>
    </row>
    <row r="23" spans="2:23" x14ac:dyDescent="0.25">
      <c r="E23" t="s">
        <v>390</v>
      </c>
      <c r="F23" s="115"/>
      <c r="G23" s="13" t="s">
        <v>167</v>
      </c>
      <c r="H23" s="3"/>
      <c r="I23" s="3" t="s">
        <v>154</v>
      </c>
      <c r="J23" s="118">
        <f t="shared" ref="J23:S23" si="3">IF(J22 = "", J21, J22)</f>
        <v>0</v>
      </c>
      <c r="K23" s="118">
        <f t="shared" si="3"/>
        <v>2.4713742436156094E-2</v>
      </c>
      <c r="L23" s="118">
        <f t="shared" si="3"/>
        <v>7.0839672179421997E-2</v>
      </c>
      <c r="M23" s="118">
        <f t="shared" si="3"/>
        <v>7.0839672179421997E-2</v>
      </c>
      <c r="N23" s="118">
        <f t="shared" si="3"/>
        <v>0.15545489876905783</v>
      </c>
      <c r="O23" s="118">
        <f t="shared" si="3"/>
        <v>0.15545489876905783</v>
      </c>
      <c r="P23" s="118">
        <f t="shared" si="3"/>
        <v>7.0839672179421997E-2</v>
      </c>
      <c r="Q23" s="118">
        <f t="shared" si="3"/>
        <v>0.54830956435053779</v>
      </c>
      <c r="R23" s="118">
        <f t="shared" si="3"/>
        <v>0.54830956435053779</v>
      </c>
      <c r="S23" s="118">
        <f t="shared" si="3"/>
        <v>0.54830956435053779</v>
      </c>
      <c r="T23" s="66"/>
      <c r="U23" s="66"/>
      <c r="W23" s="63" t="s">
        <v>391</v>
      </c>
    </row>
    <row r="24" spans="2:23" x14ac:dyDescent="0.25">
      <c r="F24" s="115"/>
      <c r="G24" s="13"/>
      <c r="H24" s="3"/>
      <c r="I24" s="3"/>
      <c r="J24" s="117"/>
      <c r="K24" s="117"/>
      <c r="L24" s="117"/>
      <c r="M24" s="117"/>
      <c r="N24" s="117"/>
      <c r="O24" s="117"/>
      <c r="P24" s="117"/>
      <c r="Q24" s="117"/>
      <c r="R24" s="117"/>
      <c r="S24" s="117"/>
      <c r="T24" s="3"/>
      <c r="U24" s="3"/>
    </row>
    <row r="25" spans="2:23" x14ac:dyDescent="0.25">
      <c r="C25" s="31" t="str">
        <f ca="1">INDEX('Version control'!$H$34:$H$57,MATCH($A$1,'Version control'!$F$34:$F$57,0),1)&amp;"-B: Loss adjustment factors"</f>
        <v>Section 102-B: Loss adjustment factors</v>
      </c>
      <c r="D25" s="31"/>
      <c r="E25" s="31"/>
      <c r="F25" s="31"/>
      <c r="G25" s="31"/>
      <c r="H25" s="31"/>
      <c r="I25" s="31"/>
      <c r="J25" s="31"/>
      <c r="K25" s="31"/>
      <c r="L25" s="31"/>
      <c r="M25" s="31"/>
      <c r="N25" s="31"/>
      <c r="O25" s="31"/>
      <c r="P25" s="31"/>
      <c r="Q25" s="31"/>
      <c r="R25" s="31"/>
      <c r="S25" s="31"/>
      <c r="T25" s="31"/>
      <c r="U25" s="31"/>
      <c r="V25" s="31"/>
      <c r="W25" s="31"/>
    </row>
    <row r="26" spans="2:23" x14ac:dyDescent="0.25">
      <c r="H26" s="3"/>
      <c r="I26" s="3"/>
      <c r="J26" s="3"/>
      <c r="K26" s="3"/>
      <c r="L26" s="3"/>
      <c r="M26" s="3"/>
      <c r="N26" s="3"/>
      <c r="O26" s="3"/>
      <c r="P26" s="3"/>
      <c r="Q26" s="3"/>
      <c r="R26" s="3"/>
      <c r="S26" s="3"/>
      <c r="T26" s="3"/>
      <c r="U26" s="3"/>
      <c r="W26" s="3"/>
    </row>
    <row r="27" spans="2:23" x14ac:dyDescent="0.25">
      <c r="E27" t="s">
        <v>392</v>
      </c>
      <c r="F27" s="119"/>
      <c r="G27" s="72" t="s">
        <v>283</v>
      </c>
      <c r="H27" s="3"/>
      <c r="I27" s="3"/>
      <c r="J27" s="79"/>
      <c r="K27" s="120">
        <f>'Inputs by network level'!K19</f>
        <v>1</v>
      </c>
      <c r="L27" s="120">
        <f>'Inputs by network level'!L19</f>
        <v>1.0029999999999999</v>
      </c>
      <c r="M27" s="120">
        <f>'Inputs by network level'!M19</f>
        <v>1.006</v>
      </c>
      <c r="N27" s="120">
        <f>'Inputs by network level'!N19</f>
        <v>1.014</v>
      </c>
      <c r="O27" s="120">
        <f>'Inputs by network level'!O19</f>
        <v>1.02</v>
      </c>
      <c r="P27" s="79"/>
      <c r="Q27" s="120">
        <f>'Inputs by network level'!Q19</f>
        <v>1.036</v>
      </c>
      <c r="R27" s="120">
        <f>'Inputs by network level'!R19</f>
        <v>1.0469999999999999</v>
      </c>
      <c r="S27" s="120">
        <f>'Inputs by network level'!S19</f>
        <v>1.0780000000000001</v>
      </c>
      <c r="T27" s="79"/>
      <c r="U27" s="79"/>
    </row>
    <row r="28" spans="2:23" x14ac:dyDescent="0.25">
      <c r="E28" t="s">
        <v>393</v>
      </c>
      <c r="F28" s="119"/>
      <c r="G28" s="72" t="s">
        <v>283</v>
      </c>
      <c r="H28" s="3"/>
      <c r="I28" s="3"/>
      <c r="J28" s="98">
        <f>K27</f>
        <v>1</v>
      </c>
      <c r="K28" s="79"/>
      <c r="L28" s="79"/>
      <c r="M28" s="79"/>
      <c r="N28" s="79"/>
      <c r="O28" s="79"/>
      <c r="P28" s="98">
        <f>O27</f>
        <v>1.02</v>
      </c>
      <c r="Q28" s="79"/>
      <c r="R28" s="79"/>
      <c r="S28" s="79"/>
      <c r="T28" s="79"/>
      <c r="U28" s="79"/>
    </row>
    <row r="29" spans="2:23" x14ac:dyDescent="0.25">
      <c r="E29" t="s">
        <v>394</v>
      </c>
      <c r="F29" s="119"/>
      <c r="G29" s="72" t="s">
        <v>283</v>
      </c>
      <c r="H29" s="3"/>
      <c r="I29" s="3" t="s">
        <v>154</v>
      </c>
      <c r="J29" s="121">
        <f t="shared" ref="J29:S29" si="4">J27 + J28</f>
        <v>1</v>
      </c>
      <c r="K29" s="121">
        <f t="shared" si="4"/>
        <v>1</v>
      </c>
      <c r="L29" s="121">
        <f t="shared" si="4"/>
        <v>1.0029999999999999</v>
      </c>
      <c r="M29" s="121">
        <f t="shared" si="4"/>
        <v>1.006</v>
      </c>
      <c r="N29" s="121">
        <f t="shared" si="4"/>
        <v>1.014</v>
      </c>
      <c r="O29" s="121">
        <f t="shared" si="4"/>
        <v>1.02</v>
      </c>
      <c r="P29" s="121">
        <f t="shared" si="4"/>
        <v>1.02</v>
      </c>
      <c r="Q29" s="121">
        <f t="shared" si="4"/>
        <v>1.036</v>
      </c>
      <c r="R29" s="121">
        <f t="shared" si="4"/>
        <v>1.0469999999999999</v>
      </c>
      <c r="S29" s="121">
        <f t="shared" si="4"/>
        <v>1.0780000000000001</v>
      </c>
      <c r="T29" s="79"/>
      <c r="U29" s="79"/>
      <c r="W29" s="63" t="s">
        <v>284</v>
      </c>
    </row>
    <row r="30" spans="2:23" x14ac:dyDescent="0.25">
      <c r="F30" s="115"/>
      <c r="G30" s="13"/>
      <c r="H30" s="3"/>
      <c r="I30" s="3"/>
      <c r="J30" s="3"/>
      <c r="K30" s="3"/>
      <c r="L30" s="3"/>
      <c r="M30" s="3"/>
      <c r="N30" s="3"/>
      <c r="O30" s="3"/>
      <c r="Q30" s="3"/>
      <c r="R30" s="3"/>
      <c r="S30" s="3"/>
      <c r="T30" s="3"/>
      <c r="U30" s="3"/>
    </row>
    <row r="31" spans="2:23" x14ac:dyDescent="0.25">
      <c r="B31" s="30" t="s">
        <v>395</v>
      </c>
      <c r="C31" s="30"/>
      <c r="D31" s="30"/>
      <c r="E31" s="30"/>
      <c r="F31" s="30"/>
      <c r="G31" s="92"/>
      <c r="H31" s="30"/>
      <c r="I31" s="30"/>
      <c r="J31" s="30"/>
      <c r="K31" s="30"/>
      <c r="L31" s="30"/>
      <c r="M31" s="30"/>
      <c r="N31" s="30"/>
      <c r="O31" s="30"/>
      <c r="P31" s="30"/>
      <c r="Q31" s="30"/>
      <c r="R31" s="30"/>
      <c r="S31" s="30"/>
      <c r="T31" s="30"/>
      <c r="U31" s="30"/>
      <c r="V31" s="30"/>
      <c r="W31" s="30"/>
    </row>
    <row r="32" spans="2:23" x14ac:dyDescent="0.25">
      <c r="F32" s="115"/>
      <c r="G32" s="13"/>
      <c r="H32" s="3"/>
      <c r="I32" s="3"/>
      <c r="J32" s="3"/>
      <c r="K32" s="3"/>
      <c r="L32" s="3"/>
      <c r="M32" s="3"/>
      <c r="N32" s="3"/>
      <c r="O32" s="3"/>
      <c r="Q32" s="3"/>
      <c r="R32" s="3"/>
      <c r="S32" s="3"/>
      <c r="T32" s="3"/>
      <c r="U32" s="3"/>
    </row>
    <row r="33" spans="3:23" x14ac:dyDescent="0.25">
      <c r="C33" s="29" t="s">
        <v>396</v>
      </c>
      <c r="F33" s="115"/>
      <c r="G33" s="13"/>
      <c r="H33" s="3"/>
      <c r="I33" s="3"/>
      <c r="J33" s="3"/>
      <c r="K33" s="3"/>
      <c r="L33" s="3"/>
      <c r="M33" s="3"/>
      <c r="N33" s="3"/>
      <c r="O33" s="3"/>
      <c r="Q33" s="3"/>
      <c r="R33" s="3"/>
      <c r="S33" s="3"/>
      <c r="T33" s="3"/>
      <c r="U33" s="3"/>
    </row>
    <row r="34" spans="3:23" x14ac:dyDescent="0.25">
      <c r="F34" s="115"/>
      <c r="G34" s="13"/>
      <c r="H34" s="3"/>
      <c r="I34" s="3"/>
      <c r="J34" s="3"/>
      <c r="K34" s="3"/>
      <c r="L34" s="3"/>
      <c r="M34" s="3"/>
      <c r="N34" s="3"/>
      <c r="O34" s="3"/>
      <c r="Q34" s="3"/>
      <c r="R34" s="3"/>
      <c r="S34" s="3"/>
      <c r="T34" s="3"/>
      <c r="U34" s="3"/>
    </row>
    <row r="35" spans="3:23" x14ac:dyDescent="0.25">
      <c r="C35" s="31" t="str">
        <f ca="1">INDEX('Version control'!$H$34:$H$57,MATCH($A$1,'Version control'!$F$34:$F$57,0),1)&amp;"-C: Proportion of relevant load going through 132kV/HV direct transformation"</f>
        <v>Section 102-C: Proportion of relevant load going through 132kV/HV direct transformation</v>
      </c>
      <c r="D35" s="31"/>
      <c r="E35" s="31"/>
      <c r="F35" s="31"/>
      <c r="G35" s="31"/>
      <c r="H35" s="31"/>
      <c r="I35" s="31"/>
      <c r="J35" s="31"/>
      <c r="K35" s="31"/>
      <c r="L35" s="31"/>
      <c r="M35" s="31"/>
      <c r="N35" s="31"/>
      <c r="O35" s="31"/>
      <c r="P35" s="31"/>
      <c r="Q35" s="31"/>
      <c r="R35" s="31"/>
      <c r="S35" s="31"/>
      <c r="T35" s="31"/>
      <c r="U35" s="31"/>
      <c r="V35" s="31"/>
      <c r="W35" s="31"/>
    </row>
    <row r="36" spans="3:23" x14ac:dyDescent="0.25">
      <c r="H36" s="3"/>
      <c r="I36" s="3"/>
      <c r="J36" s="3"/>
      <c r="K36" s="3"/>
      <c r="L36" s="3"/>
      <c r="M36" s="3"/>
      <c r="N36" s="3"/>
      <c r="O36" s="3"/>
      <c r="P36" s="3"/>
      <c r="Q36" s="3"/>
      <c r="R36" s="3"/>
      <c r="S36" s="3"/>
      <c r="T36" s="3"/>
      <c r="U36" s="3"/>
      <c r="W36" s="3"/>
    </row>
    <row r="37" spans="3:23" x14ac:dyDescent="0.25">
      <c r="E37" t="s">
        <v>196</v>
      </c>
      <c r="F37" s="28"/>
      <c r="G37" s="72" t="s">
        <v>167</v>
      </c>
      <c r="H37" s="116">
        <f>'Inputs by network level'!P17</f>
        <v>7.5044342711319545E-2</v>
      </c>
      <c r="I37" s="3"/>
    </row>
    <row r="38" spans="3:23" x14ac:dyDescent="0.25">
      <c r="E38" t="s">
        <v>397</v>
      </c>
      <c r="F38" s="115"/>
      <c r="G38" s="13" t="s">
        <v>167</v>
      </c>
      <c r="H38" s="3"/>
      <c r="I38" s="3"/>
      <c r="J38" s="66"/>
      <c r="K38" s="66"/>
      <c r="L38" s="66"/>
      <c r="M38" s="122">
        <f>1 - $H$37</f>
        <v>0.92495565728868046</v>
      </c>
      <c r="N38" s="122">
        <f>1 - $H$37</f>
        <v>0.92495565728868046</v>
      </c>
      <c r="O38" s="122">
        <f>1 - $H$37</f>
        <v>0.92495565728868046</v>
      </c>
      <c r="P38" s="123">
        <f>H37</f>
        <v>7.5044342711319545E-2</v>
      </c>
      <c r="Q38" s="66"/>
      <c r="R38" s="66"/>
      <c r="S38" s="66"/>
      <c r="T38" s="66"/>
      <c r="U38" s="66"/>
    </row>
    <row r="39" spans="3:23" x14ac:dyDescent="0.25">
      <c r="F39" s="115"/>
      <c r="G39" s="13"/>
      <c r="H39" s="3"/>
      <c r="I39" s="3"/>
      <c r="J39" s="3"/>
      <c r="K39" s="3"/>
      <c r="L39" s="3"/>
      <c r="M39" s="3"/>
      <c r="N39" s="3"/>
      <c r="O39" s="3"/>
      <c r="Q39" s="3"/>
      <c r="R39" s="3"/>
      <c r="S39" s="3"/>
      <c r="T39" s="3"/>
      <c r="U39" s="3"/>
    </row>
    <row r="40" spans="3:23" x14ac:dyDescent="0.25">
      <c r="C40" s="31" t="str">
        <f ca="1">INDEX('Version control'!$H$34:$H$57,MATCH($A$1,'Version control'!$F$34:$F$57,0),1)&amp;"-D: Network use factors"</f>
        <v>Section 102-D: Network use factors</v>
      </c>
      <c r="D40" s="31"/>
      <c r="E40" s="31"/>
      <c r="F40" s="31"/>
      <c r="G40" s="31"/>
      <c r="H40" s="31"/>
      <c r="I40" s="31"/>
      <c r="J40" s="31"/>
      <c r="K40" s="31"/>
      <c r="L40" s="31"/>
      <c r="M40" s="31"/>
      <c r="N40" s="31"/>
      <c r="O40" s="31"/>
      <c r="P40" s="31"/>
      <c r="Q40" s="31"/>
      <c r="R40" s="31"/>
      <c r="S40" s="31"/>
      <c r="T40" s="31"/>
      <c r="U40" s="31"/>
      <c r="V40" s="31"/>
      <c r="W40" s="31"/>
    </row>
    <row r="41" spans="3:23" x14ac:dyDescent="0.25">
      <c r="H41" s="3"/>
      <c r="I41" s="3"/>
      <c r="J41" s="3"/>
      <c r="K41" s="3"/>
      <c r="L41" s="3"/>
      <c r="M41" s="3"/>
      <c r="N41" s="3"/>
      <c r="O41" s="3"/>
      <c r="P41" s="3"/>
      <c r="Q41" s="3"/>
      <c r="R41" s="3"/>
      <c r="S41" s="3"/>
      <c r="T41" s="3"/>
      <c r="U41" s="3"/>
      <c r="W41" s="3"/>
    </row>
    <row r="42" spans="3:23" x14ac:dyDescent="0.25">
      <c r="D42" s="29" t="s">
        <v>398</v>
      </c>
      <c r="H42" s="3"/>
      <c r="I42" s="3"/>
      <c r="J42" s="3"/>
      <c r="K42" s="3"/>
      <c r="L42" s="3"/>
      <c r="M42" s="3"/>
      <c r="N42" s="3"/>
      <c r="O42" s="3"/>
      <c r="P42" s="3"/>
      <c r="Q42" s="3"/>
      <c r="R42" s="3"/>
      <c r="S42" s="3"/>
      <c r="T42" s="3"/>
      <c r="U42" s="3"/>
      <c r="W42" s="3"/>
    </row>
    <row r="43" spans="3:23" x14ac:dyDescent="0.25">
      <c r="D43" s="29"/>
      <c r="H43" s="3"/>
      <c r="I43" s="3"/>
      <c r="J43" s="3"/>
      <c r="K43" s="3"/>
      <c r="L43" s="3"/>
      <c r="M43" s="3"/>
      <c r="N43" s="3"/>
      <c r="O43" s="3"/>
      <c r="P43" s="3"/>
      <c r="Q43" s="3"/>
      <c r="R43" s="3"/>
      <c r="S43" s="3"/>
      <c r="T43" s="3"/>
      <c r="U43" s="3"/>
      <c r="W43" s="3"/>
    </row>
    <row r="44" spans="3:23" x14ac:dyDescent="0.25">
      <c r="E44" s="32" t="s">
        <v>187</v>
      </c>
      <c r="G44" s="13"/>
    </row>
    <row r="45" spans="3:23" x14ac:dyDescent="0.25">
      <c r="E45" s="29" t="s">
        <v>399</v>
      </c>
      <c r="G45" s="13"/>
    </row>
    <row r="46" spans="3:23" x14ac:dyDescent="0.25">
      <c r="F46" s="23" t="s">
        <v>940</v>
      </c>
      <c r="G46" s="78" t="s">
        <v>190</v>
      </c>
      <c r="H46" s="23"/>
      <c r="I46" s="23"/>
      <c r="J46" s="124">
        <f t="array" ref="J46:S61">TRANSPOSE('Fixed inputs'!J60:Y69)</f>
        <v>1</v>
      </c>
      <c r="K46" s="124">
        <v>1</v>
      </c>
      <c r="L46" s="124">
        <v>1</v>
      </c>
      <c r="M46" s="124">
        <v>1</v>
      </c>
      <c r="N46" s="124">
        <v>1</v>
      </c>
      <c r="O46" s="124">
        <v>1</v>
      </c>
      <c r="P46" s="124">
        <v>1</v>
      </c>
      <c r="Q46" s="124">
        <v>1</v>
      </c>
      <c r="R46" s="124">
        <v>1</v>
      </c>
      <c r="S46" s="124">
        <v>1</v>
      </c>
      <c r="T46" s="83"/>
      <c r="U46" s="83"/>
      <c r="W46" s="3"/>
    </row>
    <row r="47" spans="3:23" x14ac:dyDescent="0.25">
      <c r="F47" t="s">
        <v>942</v>
      </c>
      <c r="G47" s="72" t="s">
        <v>190</v>
      </c>
      <c r="J47" s="120">
        <v>1</v>
      </c>
      <c r="K47" s="120">
        <v>1</v>
      </c>
      <c r="L47" s="120">
        <v>1</v>
      </c>
      <c r="M47" s="120">
        <v>1</v>
      </c>
      <c r="N47" s="120">
        <v>1</v>
      </c>
      <c r="O47" s="120">
        <v>1</v>
      </c>
      <c r="P47" s="120">
        <v>1</v>
      </c>
      <c r="Q47" s="120">
        <v>1</v>
      </c>
      <c r="R47" s="120">
        <v>1</v>
      </c>
      <c r="S47" s="120">
        <v>1</v>
      </c>
      <c r="T47" s="79"/>
      <c r="U47" s="79"/>
    </row>
    <row r="48" spans="3:23" x14ac:dyDescent="0.25">
      <c r="F48" t="s">
        <v>941</v>
      </c>
      <c r="G48" s="72" t="s">
        <v>190</v>
      </c>
      <c r="J48" s="120">
        <v>1</v>
      </c>
      <c r="K48" s="120">
        <v>1</v>
      </c>
      <c r="L48" s="120">
        <v>1</v>
      </c>
      <c r="M48" s="120">
        <v>1</v>
      </c>
      <c r="N48" s="120">
        <v>1</v>
      </c>
      <c r="O48" s="120">
        <v>1</v>
      </c>
      <c r="P48" s="120">
        <v>1</v>
      </c>
      <c r="Q48" s="120">
        <v>1</v>
      </c>
      <c r="R48" s="120">
        <v>1</v>
      </c>
      <c r="S48" s="120">
        <v>1</v>
      </c>
      <c r="T48" s="79"/>
      <c r="U48" s="79"/>
    </row>
    <row r="49" spans="5:21" x14ac:dyDescent="0.25">
      <c r="F49" t="s">
        <v>943</v>
      </c>
      <c r="G49" s="72" t="s">
        <v>190</v>
      </c>
      <c r="J49" s="120">
        <v>1</v>
      </c>
      <c r="K49" s="120">
        <v>1</v>
      </c>
      <c r="L49" s="120">
        <v>1</v>
      </c>
      <c r="M49" s="120">
        <v>1</v>
      </c>
      <c r="N49" s="120">
        <v>1</v>
      </c>
      <c r="O49" s="120">
        <v>1</v>
      </c>
      <c r="P49" s="120">
        <v>1</v>
      </c>
      <c r="Q49" s="120">
        <v>1</v>
      </c>
      <c r="R49" s="120">
        <v>1</v>
      </c>
      <c r="S49" s="120">
        <v>1</v>
      </c>
      <c r="T49" s="79"/>
      <c r="U49" s="79"/>
    </row>
    <row r="50" spans="5:21" x14ac:dyDescent="0.25">
      <c r="F50" t="s">
        <v>949</v>
      </c>
      <c r="G50" s="72" t="s">
        <v>190</v>
      </c>
      <c r="J50" s="120">
        <v>1</v>
      </c>
      <c r="K50" s="120">
        <v>1</v>
      </c>
      <c r="L50" s="120">
        <v>1</v>
      </c>
      <c r="M50" s="120">
        <v>1</v>
      </c>
      <c r="N50" s="120">
        <v>1</v>
      </c>
      <c r="O50" s="120">
        <v>1</v>
      </c>
      <c r="P50" s="120">
        <v>1</v>
      </c>
      <c r="Q50" s="120">
        <v>1</v>
      </c>
      <c r="R50" s="120">
        <v>1</v>
      </c>
      <c r="S50" s="120">
        <v>1</v>
      </c>
      <c r="T50" s="79"/>
      <c r="U50" s="79"/>
    </row>
    <row r="51" spans="5:21" x14ac:dyDescent="0.25">
      <c r="F51" t="s">
        <v>950</v>
      </c>
      <c r="G51" s="72" t="s">
        <v>190</v>
      </c>
      <c r="J51" s="120">
        <v>1</v>
      </c>
      <c r="K51" s="120">
        <v>1</v>
      </c>
      <c r="L51" s="120">
        <v>1</v>
      </c>
      <c r="M51" s="120">
        <v>1</v>
      </c>
      <c r="N51" s="120">
        <v>1</v>
      </c>
      <c r="O51" s="120">
        <v>1</v>
      </c>
      <c r="P51" s="120">
        <v>1</v>
      </c>
      <c r="Q51" s="120">
        <v>1</v>
      </c>
      <c r="R51" s="120">
        <v>1</v>
      </c>
      <c r="S51" s="120">
        <v>0</v>
      </c>
      <c r="T51" s="79"/>
      <c r="U51" s="79"/>
    </row>
    <row r="52" spans="5:21" x14ac:dyDescent="0.25">
      <c r="F52" t="s">
        <v>951</v>
      </c>
      <c r="G52" s="72" t="s">
        <v>190</v>
      </c>
      <c r="J52" s="120">
        <v>1</v>
      </c>
      <c r="K52" s="120">
        <v>1</v>
      </c>
      <c r="L52" s="120">
        <v>1</v>
      </c>
      <c r="M52" s="120">
        <v>1</v>
      </c>
      <c r="N52" s="120">
        <v>1</v>
      </c>
      <c r="O52" s="120">
        <v>1</v>
      </c>
      <c r="P52" s="120">
        <v>1</v>
      </c>
      <c r="Q52" s="120">
        <v>1</v>
      </c>
      <c r="R52" s="120">
        <v>0</v>
      </c>
      <c r="S52" s="120">
        <v>0</v>
      </c>
      <c r="T52" s="79"/>
      <c r="U52" s="79"/>
    </row>
    <row r="53" spans="5:21" x14ac:dyDescent="0.25">
      <c r="F53" t="s">
        <v>952</v>
      </c>
      <c r="G53" s="72" t="s">
        <v>190</v>
      </c>
      <c r="J53" s="120">
        <v>1</v>
      </c>
      <c r="K53" s="120">
        <v>1</v>
      </c>
      <c r="L53" s="120">
        <v>1</v>
      </c>
      <c r="M53" s="120">
        <v>1</v>
      </c>
      <c r="N53" s="120">
        <v>1</v>
      </c>
      <c r="O53" s="120">
        <v>1</v>
      </c>
      <c r="P53" s="120">
        <v>1</v>
      </c>
      <c r="Q53" s="120">
        <v>1</v>
      </c>
      <c r="R53" s="120">
        <v>1</v>
      </c>
      <c r="S53" s="120">
        <v>1</v>
      </c>
      <c r="T53" s="79"/>
      <c r="U53" s="79"/>
    </row>
    <row r="54" spans="5:21" x14ac:dyDescent="0.25">
      <c r="F54" t="s">
        <v>944</v>
      </c>
      <c r="G54" s="72" t="s">
        <v>190</v>
      </c>
      <c r="J54" s="120">
        <v>-1</v>
      </c>
      <c r="K54" s="120">
        <v>-1</v>
      </c>
      <c r="L54" s="120">
        <v>-1</v>
      </c>
      <c r="M54" s="120">
        <v>-1</v>
      </c>
      <c r="N54" s="120">
        <v>-1</v>
      </c>
      <c r="O54" s="120">
        <v>-1</v>
      </c>
      <c r="P54" s="120">
        <v>-1</v>
      </c>
      <c r="Q54" s="120">
        <v>-1</v>
      </c>
      <c r="R54" s="120">
        <v>-1</v>
      </c>
      <c r="S54" s="120">
        <v>-1</v>
      </c>
      <c r="T54" s="79"/>
      <c r="U54" s="79"/>
    </row>
    <row r="55" spans="5:21" x14ac:dyDescent="0.25">
      <c r="F55" t="s">
        <v>945</v>
      </c>
      <c r="G55" s="72" t="s">
        <v>190</v>
      </c>
      <c r="J55" s="120">
        <v>-1</v>
      </c>
      <c r="K55" s="120">
        <v>-1</v>
      </c>
      <c r="L55" s="120">
        <v>-1</v>
      </c>
      <c r="M55" s="120">
        <v>-1</v>
      </c>
      <c r="N55" s="120">
        <v>-1</v>
      </c>
      <c r="O55" s="120">
        <v>-1</v>
      </c>
      <c r="P55" s="120">
        <v>-1</v>
      </c>
      <c r="Q55" s="120">
        <v>-1</v>
      </c>
      <c r="R55" s="120">
        <v>-1</v>
      </c>
      <c r="S55" s="120">
        <v>0</v>
      </c>
      <c r="T55" s="79"/>
      <c r="U55" s="79"/>
    </row>
    <row r="56" spans="5:21" x14ac:dyDescent="0.25">
      <c r="F56" t="s">
        <v>946</v>
      </c>
      <c r="G56" s="72" t="s">
        <v>190</v>
      </c>
      <c r="J56" s="120">
        <v>-1</v>
      </c>
      <c r="K56" s="120">
        <v>-1</v>
      </c>
      <c r="L56" s="120">
        <v>-1</v>
      </c>
      <c r="M56" s="120">
        <v>-1</v>
      </c>
      <c r="N56" s="120">
        <v>-1</v>
      </c>
      <c r="O56" s="120">
        <v>-1</v>
      </c>
      <c r="P56" s="120">
        <v>-1</v>
      </c>
      <c r="Q56" s="120">
        <v>-1</v>
      </c>
      <c r="R56" s="120">
        <v>-1</v>
      </c>
      <c r="S56" s="120">
        <v>-1</v>
      </c>
      <c r="T56" s="79"/>
      <c r="U56" s="79"/>
    </row>
    <row r="57" spans="5:21" x14ac:dyDescent="0.25">
      <c r="F57" t="s">
        <v>955</v>
      </c>
      <c r="G57" s="72" t="s">
        <v>190</v>
      </c>
      <c r="J57" s="120">
        <v>-1</v>
      </c>
      <c r="K57" s="120">
        <v>-1</v>
      </c>
      <c r="L57" s="120">
        <v>-1</v>
      </c>
      <c r="M57" s="120">
        <v>-1</v>
      </c>
      <c r="N57" s="120">
        <v>-1</v>
      </c>
      <c r="O57" s="120">
        <v>-1</v>
      </c>
      <c r="P57" s="120">
        <v>-1</v>
      </c>
      <c r="Q57" s="120">
        <v>-1</v>
      </c>
      <c r="R57" s="120">
        <v>-1</v>
      </c>
      <c r="S57" s="120">
        <v>-1</v>
      </c>
      <c r="T57" s="79"/>
      <c r="U57" s="79"/>
    </row>
    <row r="58" spans="5:21" x14ac:dyDescent="0.25">
      <c r="F58" t="s">
        <v>947</v>
      </c>
      <c r="G58" s="72" t="s">
        <v>190</v>
      </c>
      <c r="J58" s="120">
        <v>-1</v>
      </c>
      <c r="K58" s="120">
        <v>-1</v>
      </c>
      <c r="L58" s="120">
        <v>-1</v>
      </c>
      <c r="M58" s="120">
        <v>-1</v>
      </c>
      <c r="N58" s="120">
        <v>-1</v>
      </c>
      <c r="O58" s="120">
        <v>-1</v>
      </c>
      <c r="P58" s="120">
        <v>-1</v>
      </c>
      <c r="Q58" s="120">
        <v>-1</v>
      </c>
      <c r="R58" s="120">
        <v>-1</v>
      </c>
      <c r="S58" s="120">
        <v>0</v>
      </c>
      <c r="T58" s="79"/>
      <c r="U58" s="79"/>
    </row>
    <row r="59" spans="5:21" x14ac:dyDescent="0.25">
      <c r="F59" t="s">
        <v>954</v>
      </c>
      <c r="G59" s="72" t="s">
        <v>190</v>
      </c>
      <c r="J59" s="120">
        <v>-1</v>
      </c>
      <c r="K59" s="120">
        <v>-1</v>
      </c>
      <c r="L59" s="120">
        <v>-1</v>
      </c>
      <c r="M59" s="120">
        <v>-1</v>
      </c>
      <c r="N59" s="120">
        <v>-1</v>
      </c>
      <c r="O59" s="120">
        <v>-1</v>
      </c>
      <c r="P59" s="120">
        <v>-1</v>
      </c>
      <c r="Q59" s="120">
        <v>-1</v>
      </c>
      <c r="R59" s="120">
        <v>-1</v>
      </c>
      <c r="S59" s="120">
        <v>0</v>
      </c>
      <c r="T59" s="79"/>
      <c r="U59" s="79"/>
    </row>
    <row r="60" spans="5:21" x14ac:dyDescent="0.25">
      <c r="F60" t="s">
        <v>948</v>
      </c>
      <c r="G60" s="72" t="s">
        <v>190</v>
      </c>
      <c r="J60" s="120">
        <v>-1</v>
      </c>
      <c r="K60" s="120">
        <v>-1</v>
      </c>
      <c r="L60" s="120">
        <v>-1</v>
      </c>
      <c r="M60" s="120">
        <v>-1</v>
      </c>
      <c r="N60" s="120">
        <v>-1</v>
      </c>
      <c r="O60" s="120">
        <v>-1</v>
      </c>
      <c r="P60" s="120">
        <v>-1</v>
      </c>
      <c r="Q60" s="120">
        <v>-1</v>
      </c>
      <c r="R60" s="120">
        <v>0</v>
      </c>
      <c r="S60" s="120">
        <v>0</v>
      </c>
      <c r="T60" s="79"/>
      <c r="U60" s="79"/>
    </row>
    <row r="61" spans="5:21" x14ac:dyDescent="0.25">
      <c r="F61" s="37" t="s">
        <v>953</v>
      </c>
      <c r="G61" s="80" t="s">
        <v>190</v>
      </c>
      <c r="H61" s="37"/>
      <c r="I61" s="37"/>
      <c r="J61" s="125">
        <v>-1</v>
      </c>
      <c r="K61" s="125">
        <v>-1</v>
      </c>
      <c r="L61" s="125">
        <v>-1</v>
      </c>
      <c r="M61" s="125">
        <v>-1</v>
      </c>
      <c r="N61" s="125">
        <v>-1</v>
      </c>
      <c r="O61" s="125">
        <v>-1</v>
      </c>
      <c r="P61" s="125">
        <v>-1</v>
      </c>
      <c r="Q61" s="125">
        <v>-1</v>
      </c>
      <c r="R61" s="125">
        <v>0</v>
      </c>
      <c r="S61" s="125">
        <v>0</v>
      </c>
      <c r="T61" s="81"/>
      <c r="U61" s="81"/>
    </row>
    <row r="62" spans="5:21" x14ac:dyDescent="0.25">
      <c r="G62" s="13"/>
      <c r="J62" s="89"/>
      <c r="K62" s="89"/>
      <c r="L62" s="89"/>
      <c r="M62" s="89"/>
      <c r="N62" s="89"/>
      <c r="O62" s="89"/>
      <c r="P62" s="89"/>
      <c r="Q62" s="89"/>
      <c r="R62" s="89"/>
      <c r="S62" s="89"/>
      <c r="T62" s="89"/>
      <c r="U62" s="89"/>
    </row>
    <row r="63" spans="5:21" x14ac:dyDescent="0.25">
      <c r="E63" s="32" t="s">
        <v>400</v>
      </c>
      <c r="G63" s="13"/>
      <c r="J63" s="89"/>
      <c r="K63" s="89"/>
      <c r="L63" s="89"/>
      <c r="M63" s="89"/>
      <c r="N63" s="89"/>
      <c r="O63" s="89"/>
      <c r="P63" s="89"/>
      <c r="Q63" s="89"/>
      <c r="R63" s="89"/>
      <c r="S63" s="89"/>
      <c r="T63" s="89"/>
      <c r="U63" s="89"/>
    </row>
    <row r="64" spans="5:21" x14ac:dyDescent="0.25">
      <c r="E64" s="29" t="s">
        <v>401</v>
      </c>
      <c r="G64" s="13"/>
      <c r="J64" s="89"/>
      <c r="K64" s="89"/>
      <c r="L64" s="89"/>
      <c r="M64" s="89"/>
      <c r="N64" s="89"/>
      <c r="O64" s="89"/>
      <c r="P64" s="89"/>
      <c r="Q64" s="89"/>
      <c r="R64" s="89"/>
      <c r="S64" s="89"/>
      <c r="T64" s="89"/>
      <c r="U64" s="89"/>
    </row>
    <row r="65" spans="6:23" x14ac:dyDescent="0.25">
      <c r="F65" s="23" t="s">
        <v>940</v>
      </c>
      <c r="G65" s="78" t="s">
        <v>190</v>
      </c>
      <c r="H65" s="23"/>
      <c r="I65" s="23"/>
      <c r="J65" s="126">
        <f t="shared" ref="J65:S65" si="5">IF(J$38 = "", J46, J46 * J$38)</f>
        <v>1</v>
      </c>
      <c r="K65" s="126">
        <f t="shared" si="5"/>
        <v>1</v>
      </c>
      <c r="L65" s="126">
        <f t="shared" si="5"/>
        <v>1</v>
      </c>
      <c r="M65" s="126">
        <f t="shared" si="5"/>
        <v>0.92495565728868046</v>
      </c>
      <c r="N65" s="126">
        <f t="shared" si="5"/>
        <v>0.92495565728868046</v>
      </c>
      <c r="O65" s="126">
        <f t="shared" si="5"/>
        <v>0.92495565728868046</v>
      </c>
      <c r="P65" s="126">
        <f t="shared" si="5"/>
        <v>7.5044342711319545E-2</v>
      </c>
      <c r="Q65" s="126">
        <f t="shared" si="5"/>
        <v>1</v>
      </c>
      <c r="R65" s="126">
        <f t="shared" si="5"/>
        <v>1</v>
      </c>
      <c r="S65" s="126">
        <f t="shared" si="5"/>
        <v>1</v>
      </c>
      <c r="T65" s="83"/>
      <c r="U65" s="83"/>
      <c r="W65" s="3"/>
    </row>
    <row r="66" spans="6:23" x14ac:dyDescent="0.25">
      <c r="F66" t="s">
        <v>942</v>
      </c>
      <c r="G66" s="72" t="s">
        <v>190</v>
      </c>
      <c r="J66" s="98">
        <f t="shared" ref="J66:S66" si="6">IF(J$38 = "", J47, J47 * J$38)</f>
        <v>1</v>
      </c>
      <c r="K66" s="98">
        <f t="shared" si="6"/>
        <v>1</v>
      </c>
      <c r="L66" s="98">
        <f t="shared" si="6"/>
        <v>1</v>
      </c>
      <c r="M66" s="98">
        <f t="shared" si="6"/>
        <v>0.92495565728868046</v>
      </c>
      <c r="N66" s="98">
        <f t="shared" si="6"/>
        <v>0.92495565728868046</v>
      </c>
      <c r="O66" s="98">
        <f t="shared" si="6"/>
        <v>0.92495565728868046</v>
      </c>
      <c r="P66" s="98">
        <f t="shared" si="6"/>
        <v>7.5044342711319545E-2</v>
      </c>
      <c r="Q66" s="98">
        <f t="shared" si="6"/>
        <v>1</v>
      </c>
      <c r="R66" s="98">
        <f t="shared" si="6"/>
        <v>1</v>
      </c>
      <c r="S66" s="98">
        <f t="shared" si="6"/>
        <v>1</v>
      </c>
      <c r="T66" s="79"/>
      <c r="U66" s="79"/>
    </row>
    <row r="67" spans="6:23" x14ac:dyDescent="0.25">
      <c r="F67" t="s">
        <v>941</v>
      </c>
      <c r="G67" s="72" t="s">
        <v>190</v>
      </c>
      <c r="J67" s="98">
        <f t="shared" ref="J67:S67" si="7">IF(J$38 = "", J48, J48 * J$38)</f>
        <v>1</v>
      </c>
      <c r="K67" s="98">
        <f t="shared" si="7"/>
        <v>1</v>
      </c>
      <c r="L67" s="98">
        <f t="shared" si="7"/>
        <v>1</v>
      </c>
      <c r="M67" s="98">
        <f t="shared" si="7"/>
        <v>0.92495565728868046</v>
      </c>
      <c r="N67" s="98">
        <f t="shared" si="7"/>
        <v>0.92495565728868046</v>
      </c>
      <c r="O67" s="98">
        <f t="shared" si="7"/>
        <v>0.92495565728868046</v>
      </c>
      <c r="P67" s="98">
        <f t="shared" si="7"/>
        <v>7.5044342711319545E-2</v>
      </c>
      <c r="Q67" s="98">
        <f t="shared" si="7"/>
        <v>1</v>
      </c>
      <c r="R67" s="98">
        <f t="shared" si="7"/>
        <v>1</v>
      </c>
      <c r="S67" s="98">
        <f t="shared" si="7"/>
        <v>1</v>
      </c>
      <c r="T67" s="79"/>
      <c r="U67" s="79"/>
    </row>
    <row r="68" spans="6:23" x14ac:dyDescent="0.25">
      <c r="F68" t="s">
        <v>943</v>
      </c>
      <c r="G68" s="72" t="s">
        <v>190</v>
      </c>
      <c r="J68" s="98">
        <f t="shared" ref="J68:S68" si="8">IF(J$38 = "", J49, J49 * J$38)</f>
        <v>1</v>
      </c>
      <c r="K68" s="98">
        <f t="shared" si="8"/>
        <v>1</v>
      </c>
      <c r="L68" s="98">
        <f t="shared" si="8"/>
        <v>1</v>
      </c>
      <c r="M68" s="98">
        <f t="shared" si="8"/>
        <v>0.92495565728868046</v>
      </c>
      <c r="N68" s="98">
        <f t="shared" si="8"/>
        <v>0.92495565728868046</v>
      </c>
      <c r="O68" s="98">
        <f t="shared" si="8"/>
        <v>0.92495565728868046</v>
      </c>
      <c r="P68" s="98">
        <f t="shared" si="8"/>
        <v>7.5044342711319545E-2</v>
      </c>
      <c r="Q68" s="98">
        <f t="shared" si="8"/>
        <v>1</v>
      </c>
      <c r="R68" s="98">
        <f t="shared" si="8"/>
        <v>1</v>
      </c>
      <c r="S68" s="98">
        <f t="shared" si="8"/>
        <v>1</v>
      </c>
      <c r="T68" s="79"/>
      <c r="U68" s="79"/>
    </row>
    <row r="69" spans="6:23" x14ac:dyDescent="0.25">
      <c r="F69" t="s">
        <v>949</v>
      </c>
      <c r="G69" s="72" t="s">
        <v>190</v>
      </c>
      <c r="J69" s="98">
        <f t="shared" ref="J69:S69" si="9">IF(J$38 = "", J50, J50 * J$38)</f>
        <v>1</v>
      </c>
      <c r="K69" s="98">
        <f t="shared" si="9"/>
        <v>1</v>
      </c>
      <c r="L69" s="98">
        <f t="shared" si="9"/>
        <v>1</v>
      </c>
      <c r="M69" s="98">
        <f t="shared" si="9"/>
        <v>0.92495565728868046</v>
      </c>
      <c r="N69" s="98">
        <f t="shared" si="9"/>
        <v>0.92495565728868046</v>
      </c>
      <c r="O69" s="98">
        <f t="shared" si="9"/>
        <v>0.92495565728868046</v>
      </c>
      <c r="P69" s="98">
        <f t="shared" si="9"/>
        <v>7.5044342711319545E-2</v>
      </c>
      <c r="Q69" s="98">
        <f t="shared" si="9"/>
        <v>1</v>
      </c>
      <c r="R69" s="98">
        <f t="shared" si="9"/>
        <v>1</v>
      </c>
      <c r="S69" s="98">
        <f t="shared" si="9"/>
        <v>1</v>
      </c>
      <c r="T69" s="79"/>
      <c r="U69" s="79"/>
    </row>
    <row r="70" spans="6:23" x14ac:dyDescent="0.25">
      <c r="F70" t="s">
        <v>950</v>
      </c>
      <c r="G70" s="72" t="s">
        <v>190</v>
      </c>
      <c r="J70" s="98">
        <f t="shared" ref="J70:S70" si="10">IF(J$38 = "", J51, J51 * J$38)</f>
        <v>1</v>
      </c>
      <c r="K70" s="98">
        <f t="shared" si="10"/>
        <v>1</v>
      </c>
      <c r="L70" s="98">
        <f t="shared" si="10"/>
        <v>1</v>
      </c>
      <c r="M70" s="98">
        <f t="shared" si="10"/>
        <v>0.92495565728868046</v>
      </c>
      <c r="N70" s="98">
        <f t="shared" si="10"/>
        <v>0.92495565728868046</v>
      </c>
      <c r="O70" s="98">
        <f t="shared" si="10"/>
        <v>0.92495565728868046</v>
      </c>
      <c r="P70" s="98">
        <f t="shared" si="10"/>
        <v>7.5044342711319545E-2</v>
      </c>
      <c r="Q70" s="98">
        <f t="shared" si="10"/>
        <v>1</v>
      </c>
      <c r="R70" s="98">
        <f t="shared" si="10"/>
        <v>1</v>
      </c>
      <c r="S70" s="98">
        <f t="shared" si="10"/>
        <v>0</v>
      </c>
      <c r="T70" s="79"/>
      <c r="U70" s="79"/>
    </row>
    <row r="71" spans="6:23" x14ac:dyDescent="0.25">
      <c r="F71" t="s">
        <v>951</v>
      </c>
      <c r="G71" s="72" t="s">
        <v>190</v>
      </c>
      <c r="J71" s="98">
        <f t="shared" ref="J71:S71" si="11">IF(J$38 = "", J52, J52 * J$38)</f>
        <v>1</v>
      </c>
      <c r="K71" s="98">
        <f t="shared" si="11"/>
        <v>1</v>
      </c>
      <c r="L71" s="98">
        <f t="shared" si="11"/>
        <v>1</v>
      </c>
      <c r="M71" s="98">
        <f t="shared" si="11"/>
        <v>0.92495565728868046</v>
      </c>
      <c r="N71" s="98">
        <f t="shared" si="11"/>
        <v>0.92495565728868046</v>
      </c>
      <c r="O71" s="98">
        <f t="shared" si="11"/>
        <v>0.92495565728868046</v>
      </c>
      <c r="P71" s="98">
        <f t="shared" si="11"/>
        <v>7.5044342711319545E-2</v>
      </c>
      <c r="Q71" s="98">
        <f t="shared" si="11"/>
        <v>1</v>
      </c>
      <c r="R71" s="98">
        <f t="shared" si="11"/>
        <v>0</v>
      </c>
      <c r="S71" s="98">
        <f t="shared" si="11"/>
        <v>0</v>
      </c>
      <c r="T71" s="79"/>
      <c r="U71" s="79"/>
    </row>
    <row r="72" spans="6:23" x14ac:dyDescent="0.25">
      <c r="F72" t="s">
        <v>952</v>
      </c>
      <c r="G72" s="72" t="s">
        <v>190</v>
      </c>
      <c r="J72" s="98">
        <f t="shared" ref="J72:S72" si="12">IF(J$38 = "", J53, J53 * J$38)</f>
        <v>1</v>
      </c>
      <c r="K72" s="98">
        <f t="shared" si="12"/>
        <v>1</v>
      </c>
      <c r="L72" s="98">
        <f t="shared" si="12"/>
        <v>1</v>
      </c>
      <c r="M72" s="98">
        <f t="shared" si="12"/>
        <v>0.92495565728868046</v>
      </c>
      <c r="N72" s="98">
        <f t="shared" si="12"/>
        <v>0.92495565728868046</v>
      </c>
      <c r="O72" s="98">
        <f t="shared" si="12"/>
        <v>0.92495565728868046</v>
      </c>
      <c r="P72" s="98">
        <f t="shared" si="12"/>
        <v>7.5044342711319545E-2</v>
      </c>
      <c r="Q72" s="98">
        <f t="shared" si="12"/>
        <v>1</v>
      </c>
      <c r="R72" s="98">
        <f t="shared" si="12"/>
        <v>1</v>
      </c>
      <c r="S72" s="98">
        <f t="shared" si="12"/>
        <v>1</v>
      </c>
      <c r="T72" s="79"/>
      <c r="U72" s="79"/>
    </row>
    <row r="73" spans="6:23" x14ac:dyDescent="0.25">
      <c r="F73" t="s">
        <v>944</v>
      </c>
      <c r="G73" s="72" t="s">
        <v>190</v>
      </c>
      <c r="J73" s="98">
        <f t="shared" ref="J73:S73" si="13">IF(J$38 = "", J54, J54 * J$38)</f>
        <v>-1</v>
      </c>
      <c r="K73" s="98">
        <f t="shared" si="13"/>
        <v>-1</v>
      </c>
      <c r="L73" s="98">
        <f t="shared" si="13"/>
        <v>-1</v>
      </c>
      <c r="M73" s="98">
        <f t="shared" si="13"/>
        <v>-0.92495565728868046</v>
      </c>
      <c r="N73" s="98">
        <f t="shared" si="13"/>
        <v>-0.92495565728868046</v>
      </c>
      <c r="O73" s="98">
        <f t="shared" si="13"/>
        <v>-0.92495565728868046</v>
      </c>
      <c r="P73" s="98">
        <f t="shared" si="13"/>
        <v>-7.5044342711319545E-2</v>
      </c>
      <c r="Q73" s="98">
        <f t="shared" si="13"/>
        <v>-1</v>
      </c>
      <c r="R73" s="98">
        <f t="shared" si="13"/>
        <v>-1</v>
      </c>
      <c r="S73" s="98">
        <f t="shared" si="13"/>
        <v>-1</v>
      </c>
      <c r="T73" s="79"/>
      <c r="U73" s="79"/>
    </row>
    <row r="74" spans="6:23" x14ac:dyDescent="0.25">
      <c r="F74" t="s">
        <v>945</v>
      </c>
      <c r="G74" s="72" t="s">
        <v>190</v>
      </c>
      <c r="J74" s="98">
        <f t="shared" ref="J74:S74" si="14">IF(J$38 = "", J55, J55 * J$38)</f>
        <v>-1</v>
      </c>
      <c r="K74" s="98">
        <f t="shared" si="14"/>
        <v>-1</v>
      </c>
      <c r="L74" s="98">
        <f t="shared" si="14"/>
        <v>-1</v>
      </c>
      <c r="M74" s="98">
        <f t="shared" si="14"/>
        <v>-0.92495565728868046</v>
      </c>
      <c r="N74" s="98">
        <f t="shared" si="14"/>
        <v>-0.92495565728868046</v>
      </c>
      <c r="O74" s="98">
        <f t="shared" si="14"/>
        <v>-0.92495565728868046</v>
      </c>
      <c r="P74" s="98">
        <f t="shared" si="14"/>
        <v>-7.5044342711319545E-2</v>
      </c>
      <c r="Q74" s="98">
        <f t="shared" si="14"/>
        <v>-1</v>
      </c>
      <c r="R74" s="98">
        <f t="shared" si="14"/>
        <v>-1</v>
      </c>
      <c r="S74" s="98">
        <f t="shared" si="14"/>
        <v>0</v>
      </c>
      <c r="T74" s="79"/>
      <c r="U74" s="79"/>
    </row>
    <row r="75" spans="6:23" x14ac:dyDescent="0.25">
      <c r="F75" t="s">
        <v>946</v>
      </c>
      <c r="G75" s="72" t="s">
        <v>190</v>
      </c>
      <c r="J75" s="98">
        <f t="shared" ref="J75:S75" si="15">IF(J$38 = "", J56, J56 * J$38)</f>
        <v>-1</v>
      </c>
      <c r="K75" s="98">
        <f t="shared" si="15"/>
        <v>-1</v>
      </c>
      <c r="L75" s="98">
        <f t="shared" si="15"/>
        <v>-1</v>
      </c>
      <c r="M75" s="98">
        <f t="shared" si="15"/>
        <v>-0.92495565728868046</v>
      </c>
      <c r="N75" s="98">
        <f t="shared" si="15"/>
        <v>-0.92495565728868046</v>
      </c>
      <c r="O75" s="98">
        <f t="shared" si="15"/>
        <v>-0.92495565728868046</v>
      </c>
      <c r="P75" s="98">
        <f t="shared" si="15"/>
        <v>-7.5044342711319545E-2</v>
      </c>
      <c r="Q75" s="98">
        <f t="shared" si="15"/>
        <v>-1</v>
      </c>
      <c r="R75" s="98">
        <f t="shared" si="15"/>
        <v>-1</v>
      </c>
      <c r="S75" s="98">
        <f t="shared" si="15"/>
        <v>-1</v>
      </c>
      <c r="T75" s="79"/>
      <c r="U75" s="79"/>
    </row>
    <row r="76" spans="6:23" x14ac:dyDescent="0.25">
      <c r="F76" t="s">
        <v>955</v>
      </c>
      <c r="G76" s="72" t="s">
        <v>190</v>
      </c>
      <c r="J76" s="98">
        <f t="shared" ref="J76:S76" si="16">IF(J$38 = "", J57, J57 * J$38)</f>
        <v>-1</v>
      </c>
      <c r="K76" s="98">
        <f t="shared" si="16"/>
        <v>-1</v>
      </c>
      <c r="L76" s="98">
        <f t="shared" si="16"/>
        <v>-1</v>
      </c>
      <c r="M76" s="98">
        <f t="shared" si="16"/>
        <v>-0.92495565728868046</v>
      </c>
      <c r="N76" s="98">
        <f t="shared" si="16"/>
        <v>-0.92495565728868046</v>
      </c>
      <c r="O76" s="98">
        <f t="shared" si="16"/>
        <v>-0.92495565728868046</v>
      </c>
      <c r="P76" s="98">
        <f t="shared" si="16"/>
        <v>-7.5044342711319545E-2</v>
      </c>
      <c r="Q76" s="98">
        <f t="shared" si="16"/>
        <v>-1</v>
      </c>
      <c r="R76" s="98">
        <f t="shared" si="16"/>
        <v>-1</v>
      </c>
      <c r="S76" s="98">
        <f t="shared" si="16"/>
        <v>-1</v>
      </c>
      <c r="T76" s="79"/>
      <c r="U76" s="79"/>
    </row>
    <row r="77" spans="6:23" x14ac:dyDescent="0.25">
      <c r="F77" t="s">
        <v>947</v>
      </c>
      <c r="G77" s="72" t="s">
        <v>190</v>
      </c>
      <c r="J77" s="98">
        <f t="shared" ref="J77:S77" si="17">IF(J$38 = "", J58, J58 * J$38)</f>
        <v>-1</v>
      </c>
      <c r="K77" s="98">
        <f t="shared" si="17"/>
        <v>-1</v>
      </c>
      <c r="L77" s="98">
        <f t="shared" si="17"/>
        <v>-1</v>
      </c>
      <c r="M77" s="98">
        <f t="shared" si="17"/>
        <v>-0.92495565728868046</v>
      </c>
      <c r="N77" s="98">
        <f t="shared" si="17"/>
        <v>-0.92495565728868046</v>
      </c>
      <c r="O77" s="98">
        <f t="shared" si="17"/>
        <v>-0.92495565728868046</v>
      </c>
      <c r="P77" s="98">
        <f t="shared" si="17"/>
        <v>-7.5044342711319545E-2</v>
      </c>
      <c r="Q77" s="98">
        <f t="shared" si="17"/>
        <v>-1</v>
      </c>
      <c r="R77" s="98">
        <f t="shared" si="17"/>
        <v>-1</v>
      </c>
      <c r="S77" s="98">
        <f t="shared" si="17"/>
        <v>0</v>
      </c>
      <c r="T77" s="79"/>
      <c r="U77" s="79"/>
    </row>
    <row r="78" spans="6:23" x14ac:dyDescent="0.25">
      <c r="F78" t="s">
        <v>954</v>
      </c>
      <c r="G78" s="72" t="s">
        <v>190</v>
      </c>
      <c r="J78" s="98">
        <f t="shared" ref="J78:S78" si="18">IF(J$38 = "", J59, J59 * J$38)</f>
        <v>-1</v>
      </c>
      <c r="K78" s="98">
        <f t="shared" si="18"/>
        <v>-1</v>
      </c>
      <c r="L78" s="98">
        <f t="shared" si="18"/>
        <v>-1</v>
      </c>
      <c r="M78" s="98">
        <f t="shared" si="18"/>
        <v>-0.92495565728868046</v>
      </c>
      <c r="N78" s="98">
        <f t="shared" si="18"/>
        <v>-0.92495565728868046</v>
      </c>
      <c r="O78" s="98">
        <f t="shared" si="18"/>
        <v>-0.92495565728868046</v>
      </c>
      <c r="P78" s="98">
        <f t="shared" si="18"/>
        <v>-7.5044342711319545E-2</v>
      </c>
      <c r="Q78" s="98">
        <f t="shared" si="18"/>
        <v>-1</v>
      </c>
      <c r="R78" s="98">
        <f t="shared" si="18"/>
        <v>-1</v>
      </c>
      <c r="S78" s="98">
        <f t="shared" si="18"/>
        <v>0</v>
      </c>
      <c r="T78" s="79"/>
      <c r="U78" s="79"/>
    </row>
    <row r="79" spans="6:23" x14ac:dyDescent="0.25">
      <c r="F79" t="s">
        <v>948</v>
      </c>
      <c r="G79" s="72" t="s">
        <v>190</v>
      </c>
      <c r="J79" s="98">
        <f t="shared" ref="J79:S79" si="19">IF(J$38 = "", J60, J60 * J$38)</f>
        <v>-1</v>
      </c>
      <c r="K79" s="98">
        <f t="shared" si="19"/>
        <v>-1</v>
      </c>
      <c r="L79" s="98">
        <f t="shared" si="19"/>
        <v>-1</v>
      </c>
      <c r="M79" s="98">
        <f t="shared" si="19"/>
        <v>-0.92495565728868046</v>
      </c>
      <c r="N79" s="98">
        <f t="shared" si="19"/>
        <v>-0.92495565728868046</v>
      </c>
      <c r="O79" s="98">
        <f t="shared" si="19"/>
        <v>-0.92495565728868046</v>
      </c>
      <c r="P79" s="98">
        <f t="shared" si="19"/>
        <v>-7.5044342711319545E-2</v>
      </c>
      <c r="Q79" s="98">
        <f t="shared" si="19"/>
        <v>-1</v>
      </c>
      <c r="R79" s="98">
        <f t="shared" si="19"/>
        <v>0</v>
      </c>
      <c r="S79" s="98">
        <f t="shared" si="19"/>
        <v>0</v>
      </c>
      <c r="T79" s="79"/>
      <c r="U79" s="79"/>
    </row>
    <row r="80" spans="6:23" x14ac:dyDescent="0.25">
      <c r="F80" s="37" t="s">
        <v>953</v>
      </c>
      <c r="G80" s="80" t="s">
        <v>190</v>
      </c>
      <c r="H80" s="37"/>
      <c r="I80" s="37"/>
      <c r="J80" s="100">
        <f t="shared" ref="J80:S80" si="20">IF(J$38 = "", J61, J61 * J$38)</f>
        <v>-1</v>
      </c>
      <c r="K80" s="100">
        <f t="shared" si="20"/>
        <v>-1</v>
      </c>
      <c r="L80" s="100">
        <f t="shared" si="20"/>
        <v>-1</v>
      </c>
      <c r="M80" s="100">
        <f t="shared" si="20"/>
        <v>-0.92495565728868046</v>
      </c>
      <c r="N80" s="100">
        <f t="shared" si="20"/>
        <v>-0.92495565728868046</v>
      </c>
      <c r="O80" s="100">
        <f t="shared" si="20"/>
        <v>-0.92495565728868046</v>
      </c>
      <c r="P80" s="100">
        <f t="shared" si="20"/>
        <v>-7.5044342711319545E-2</v>
      </c>
      <c r="Q80" s="100">
        <f t="shared" si="20"/>
        <v>-1</v>
      </c>
      <c r="R80" s="100">
        <f t="shared" si="20"/>
        <v>0</v>
      </c>
      <c r="S80" s="100">
        <f t="shared" si="20"/>
        <v>0</v>
      </c>
      <c r="T80" s="81"/>
      <c r="U80" s="81"/>
    </row>
    <row r="81" spans="5:23" x14ac:dyDescent="0.25">
      <c r="G81" s="13"/>
      <c r="J81" s="89"/>
      <c r="K81" s="89"/>
      <c r="L81" s="89"/>
      <c r="M81" s="89"/>
      <c r="N81" s="89"/>
      <c r="O81" s="89"/>
      <c r="P81" s="89"/>
      <c r="Q81" s="89"/>
      <c r="R81" s="89"/>
      <c r="S81" s="89"/>
      <c r="T81" s="89"/>
      <c r="U81" s="89"/>
    </row>
    <row r="82" spans="5:23" x14ac:dyDescent="0.25">
      <c r="E82" s="32" t="s">
        <v>200</v>
      </c>
      <c r="G82" s="13"/>
      <c r="I82" t="s">
        <v>154</v>
      </c>
      <c r="J82" s="89"/>
      <c r="K82" s="89"/>
      <c r="L82" s="89"/>
      <c r="M82" s="89"/>
      <c r="N82" s="89"/>
      <c r="O82" s="89"/>
      <c r="P82" s="89"/>
      <c r="Q82" s="89"/>
      <c r="R82" s="89"/>
      <c r="S82" s="89"/>
      <c r="T82" s="89"/>
      <c r="U82" s="89"/>
      <c r="W82" s="3" t="s">
        <v>402</v>
      </c>
    </row>
    <row r="83" spans="5:23" x14ac:dyDescent="0.25">
      <c r="E83" s="29" t="s">
        <v>202</v>
      </c>
      <c r="G83" s="13"/>
      <c r="J83" s="89"/>
      <c r="K83" s="89"/>
      <c r="L83" s="89"/>
      <c r="M83" s="89"/>
      <c r="N83" s="89"/>
      <c r="O83" s="89"/>
      <c r="P83" s="89"/>
      <c r="Q83" s="89"/>
      <c r="R83" s="89"/>
      <c r="S83" s="89"/>
      <c r="T83" s="89"/>
      <c r="U83" s="89"/>
    </row>
    <row r="84" spans="5:23" x14ac:dyDescent="0.25">
      <c r="F84" s="23" t="s">
        <v>940</v>
      </c>
      <c r="G84" s="78" t="s">
        <v>176</v>
      </c>
      <c r="H84" s="23"/>
      <c r="I84" s="23"/>
      <c r="J84" s="124">
        <f t="array" ref="J84:S99">TRANSPOSE('Fixed inputs'!J73:Y82)</f>
        <v>1</v>
      </c>
      <c r="K84" s="124">
        <v>1</v>
      </c>
      <c r="L84" s="124">
        <v>1</v>
      </c>
      <c r="M84" s="124">
        <v>1</v>
      </c>
      <c r="N84" s="124">
        <v>1</v>
      </c>
      <c r="O84" s="124">
        <v>1</v>
      </c>
      <c r="P84" s="124">
        <v>1</v>
      </c>
      <c r="Q84" s="124">
        <v>1</v>
      </c>
      <c r="R84" s="124">
        <v>1</v>
      </c>
      <c r="S84" s="124">
        <v>1</v>
      </c>
      <c r="T84" s="83"/>
      <c r="U84" s="83"/>
    </row>
    <row r="85" spans="5:23" x14ac:dyDescent="0.25">
      <c r="F85" t="s">
        <v>942</v>
      </c>
      <c r="G85" s="72" t="s">
        <v>176</v>
      </c>
      <c r="J85" s="120">
        <v>1</v>
      </c>
      <c r="K85" s="120">
        <v>1</v>
      </c>
      <c r="L85" s="120">
        <v>1</v>
      </c>
      <c r="M85" s="120">
        <v>1</v>
      </c>
      <c r="N85" s="120">
        <v>1</v>
      </c>
      <c r="O85" s="120">
        <v>1</v>
      </c>
      <c r="P85" s="120">
        <v>1</v>
      </c>
      <c r="Q85" s="120">
        <v>1</v>
      </c>
      <c r="R85" s="120">
        <v>1</v>
      </c>
      <c r="S85" s="120">
        <v>1</v>
      </c>
      <c r="T85" s="79"/>
      <c r="U85" s="79"/>
    </row>
    <row r="86" spans="5:23" x14ac:dyDescent="0.25">
      <c r="F86" t="s">
        <v>941</v>
      </c>
      <c r="G86" s="72" t="s">
        <v>176</v>
      </c>
      <c r="J86" s="120">
        <v>1</v>
      </c>
      <c r="K86" s="120">
        <v>1</v>
      </c>
      <c r="L86" s="120">
        <v>1</v>
      </c>
      <c r="M86" s="120">
        <v>1</v>
      </c>
      <c r="N86" s="120">
        <v>1</v>
      </c>
      <c r="O86" s="120">
        <v>1</v>
      </c>
      <c r="P86" s="120">
        <v>1</v>
      </c>
      <c r="Q86" s="120">
        <v>1</v>
      </c>
      <c r="R86" s="120">
        <v>1</v>
      </c>
      <c r="S86" s="120">
        <v>1</v>
      </c>
      <c r="T86" s="79"/>
      <c r="U86" s="79"/>
    </row>
    <row r="87" spans="5:23" x14ac:dyDescent="0.25">
      <c r="F87" t="s">
        <v>943</v>
      </c>
      <c r="G87" s="72" t="s">
        <v>176</v>
      </c>
      <c r="J87" s="120">
        <v>1</v>
      </c>
      <c r="K87" s="120">
        <v>1</v>
      </c>
      <c r="L87" s="120">
        <v>1</v>
      </c>
      <c r="M87" s="120">
        <v>1</v>
      </c>
      <c r="N87" s="120">
        <v>1</v>
      </c>
      <c r="O87" s="120">
        <v>1</v>
      </c>
      <c r="P87" s="120">
        <v>1</v>
      </c>
      <c r="Q87" s="120">
        <v>1</v>
      </c>
      <c r="R87" s="120">
        <v>1</v>
      </c>
      <c r="S87" s="120">
        <v>1</v>
      </c>
      <c r="T87" s="79"/>
      <c r="U87" s="79"/>
    </row>
    <row r="88" spans="5:23" x14ac:dyDescent="0.25">
      <c r="F88" t="s">
        <v>949</v>
      </c>
      <c r="G88" s="72" t="s">
        <v>176</v>
      </c>
      <c r="J88" s="120">
        <v>1</v>
      </c>
      <c r="K88" s="120">
        <v>1</v>
      </c>
      <c r="L88" s="120">
        <v>1</v>
      </c>
      <c r="M88" s="120">
        <v>1</v>
      </c>
      <c r="N88" s="120">
        <v>1</v>
      </c>
      <c r="O88" s="120">
        <v>1</v>
      </c>
      <c r="P88" s="120">
        <v>1</v>
      </c>
      <c r="Q88" s="120">
        <v>1</v>
      </c>
      <c r="R88" s="120">
        <v>1</v>
      </c>
      <c r="S88" s="120">
        <v>1</v>
      </c>
      <c r="T88" s="79"/>
      <c r="U88" s="79"/>
    </row>
    <row r="89" spans="5:23" x14ac:dyDescent="0.25">
      <c r="F89" t="s">
        <v>950</v>
      </c>
      <c r="G89" s="72" t="s">
        <v>176</v>
      </c>
      <c r="J89" s="120">
        <v>1</v>
      </c>
      <c r="K89" s="120">
        <v>1</v>
      </c>
      <c r="L89" s="120">
        <v>1</v>
      </c>
      <c r="M89" s="120">
        <v>1</v>
      </c>
      <c r="N89" s="120">
        <v>1</v>
      </c>
      <c r="O89" s="120">
        <v>1</v>
      </c>
      <c r="P89" s="120">
        <v>1</v>
      </c>
      <c r="Q89" s="120">
        <v>1</v>
      </c>
      <c r="R89" s="120">
        <v>1</v>
      </c>
      <c r="S89" s="120">
        <v>0</v>
      </c>
      <c r="T89" s="79"/>
      <c r="U89" s="79"/>
    </row>
    <row r="90" spans="5:23" x14ac:dyDescent="0.25">
      <c r="F90" t="s">
        <v>951</v>
      </c>
      <c r="G90" s="72" t="s">
        <v>176</v>
      </c>
      <c r="J90" s="120">
        <v>1</v>
      </c>
      <c r="K90" s="120">
        <v>1</v>
      </c>
      <c r="L90" s="120">
        <v>1</v>
      </c>
      <c r="M90" s="120">
        <v>1</v>
      </c>
      <c r="N90" s="120">
        <v>1</v>
      </c>
      <c r="O90" s="120">
        <v>1</v>
      </c>
      <c r="P90" s="120">
        <v>1</v>
      </c>
      <c r="Q90" s="120">
        <v>1</v>
      </c>
      <c r="R90" s="120">
        <v>0</v>
      </c>
      <c r="S90" s="120">
        <v>0</v>
      </c>
      <c r="T90" s="79"/>
      <c r="U90" s="79"/>
    </row>
    <row r="91" spans="5:23" x14ac:dyDescent="0.25">
      <c r="F91" t="s">
        <v>952</v>
      </c>
      <c r="G91" s="72" t="s">
        <v>176</v>
      </c>
      <c r="J91" s="120">
        <v>1</v>
      </c>
      <c r="K91" s="120">
        <v>1</v>
      </c>
      <c r="L91" s="120">
        <v>1</v>
      </c>
      <c r="M91" s="120">
        <v>1</v>
      </c>
      <c r="N91" s="120">
        <v>1</v>
      </c>
      <c r="O91" s="120">
        <v>1</v>
      </c>
      <c r="P91" s="120">
        <v>1</v>
      </c>
      <c r="Q91" s="120">
        <v>1</v>
      </c>
      <c r="R91" s="120">
        <v>1</v>
      </c>
      <c r="S91" s="120">
        <v>1</v>
      </c>
      <c r="T91" s="79"/>
      <c r="U91" s="79"/>
    </row>
    <row r="92" spans="5:23" x14ac:dyDescent="0.25">
      <c r="F92" t="s">
        <v>944</v>
      </c>
      <c r="G92" s="72" t="s">
        <v>176</v>
      </c>
      <c r="J92" s="120">
        <v>-1</v>
      </c>
      <c r="K92" s="120">
        <v>-1</v>
      </c>
      <c r="L92" s="120">
        <v>-1</v>
      </c>
      <c r="M92" s="120">
        <v>-1</v>
      </c>
      <c r="N92" s="120">
        <v>-1</v>
      </c>
      <c r="O92" s="120">
        <v>-1</v>
      </c>
      <c r="P92" s="120">
        <v>-1</v>
      </c>
      <c r="Q92" s="120">
        <v>-1</v>
      </c>
      <c r="R92" s="120">
        <v>-1</v>
      </c>
      <c r="S92" s="120">
        <v>0</v>
      </c>
      <c r="T92" s="79"/>
      <c r="U92" s="79"/>
    </row>
    <row r="93" spans="5:23" x14ac:dyDescent="0.25">
      <c r="F93" t="s">
        <v>945</v>
      </c>
      <c r="G93" s="72" t="s">
        <v>176</v>
      </c>
      <c r="J93" s="120">
        <v>-1</v>
      </c>
      <c r="K93" s="120">
        <v>-1</v>
      </c>
      <c r="L93" s="120">
        <v>-1</v>
      </c>
      <c r="M93" s="120">
        <v>-1</v>
      </c>
      <c r="N93" s="120">
        <v>-1</v>
      </c>
      <c r="O93" s="120">
        <v>-1</v>
      </c>
      <c r="P93" s="120">
        <v>-1</v>
      </c>
      <c r="Q93" s="120">
        <v>-1</v>
      </c>
      <c r="R93" s="120">
        <v>0</v>
      </c>
      <c r="S93" s="120">
        <v>0</v>
      </c>
      <c r="T93" s="79"/>
      <c r="U93" s="79"/>
    </row>
    <row r="94" spans="5:23" x14ac:dyDescent="0.25">
      <c r="F94" t="s">
        <v>946</v>
      </c>
      <c r="G94" s="72" t="s">
        <v>176</v>
      </c>
      <c r="J94" s="120">
        <v>-1</v>
      </c>
      <c r="K94" s="120">
        <v>-1</v>
      </c>
      <c r="L94" s="120">
        <v>-1</v>
      </c>
      <c r="M94" s="120">
        <v>-1</v>
      </c>
      <c r="N94" s="120">
        <v>-1</v>
      </c>
      <c r="O94" s="120">
        <v>-1</v>
      </c>
      <c r="P94" s="120">
        <v>-1</v>
      </c>
      <c r="Q94" s="120">
        <v>-1</v>
      </c>
      <c r="R94" s="120">
        <v>-1</v>
      </c>
      <c r="S94" s="120">
        <v>0</v>
      </c>
      <c r="T94" s="79"/>
      <c r="U94" s="79"/>
    </row>
    <row r="95" spans="5:23" x14ac:dyDescent="0.25">
      <c r="F95" t="s">
        <v>955</v>
      </c>
      <c r="G95" s="72" t="s">
        <v>176</v>
      </c>
      <c r="J95" s="120">
        <v>-1</v>
      </c>
      <c r="K95" s="120">
        <v>-1</v>
      </c>
      <c r="L95" s="120">
        <v>-1</v>
      </c>
      <c r="M95" s="120">
        <v>-1</v>
      </c>
      <c r="N95" s="120">
        <v>-1</v>
      </c>
      <c r="O95" s="120">
        <v>-1</v>
      </c>
      <c r="P95" s="120">
        <v>-1</v>
      </c>
      <c r="Q95" s="120">
        <v>-1</v>
      </c>
      <c r="R95" s="120">
        <v>-1</v>
      </c>
      <c r="S95" s="120">
        <v>0</v>
      </c>
      <c r="T95" s="79"/>
      <c r="U95" s="79"/>
    </row>
    <row r="96" spans="5:23" x14ac:dyDescent="0.25">
      <c r="F96" t="s">
        <v>947</v>
      </c>
      <c r="G96" s="72" t="s">
        <v>176</v>
      </c>
      <c r="J96" s="120">
        <v>-1</v>
      </c>
      <c r="K96" s="120">
        <v>-1</v>
      </c>
      <c r="L96" s="120">
        <v>-1</v>
      </c>
      <c r="M96" s="120">
        <v>-1</v>
      </c>
      <c r="N96" s="120">
        <v>-1</v>
      </c>
      <c r="O96" s="120">
        <v>-1</v>
      </c>
      <c r="P96" s="120">
        <v>-1</v>
      </c>
      <c r="Q96" s="120">
        <v>-1</v>
      </c>
      <c r="R96" s="120">
        <v>0</v>
      </c>
      <c r="S96" s="120">
        <v>0</v>
      </c>
      <c r="T96" s="79"/>
      <c r="U96" s="79"/>
    </row>
    <row r="97" spans="5:23" x14ac:dyDescent="0.25">
      <c r="F97" t="s">
        <v>954</v>
      </c>
      <c r="G97" s="72" t="s">
        <v>176</v>
      </c>
      <c r="J97" s="120">
        <v>-1</v>
      </c>
      <c r="K97" s="120">
        <v>-1</v>
      </c>
      <c r="L97" s="120">
        <v>-1</v>
      </c>
      <c r="M97" s="120">
        <v>-1</v>
      </c>
      <c r="N97" s="120">
        <v>-1</v>
      </c>
      <c r="O97" s="120">
        <v>-1</v>
      </c>
      <c r="P97" s="120">
        <v>-1</v>
      </c>
      <c r="Q97" s="120">
        <v>-1</v>
      </c>
      <c r="R97" s="120">
        <v>0</v>
      </c>
      <c r="S97" s="120">
        <v>0</v>
      </c>
      <c r="T97" s="79"/>
      <c r="U97" s="79"/>
    </row>
    <row r="98" spans="5:23" x14ac:dyDescent="0.25">
      <c r="F98" t="s">
        <v>948</v>
      </c>
      <c r="G98" s="72" t="s">
        <v>176</v>
      </c>
      <c r="J98" s="120">
        <v>-1</v>
      </c>
      <c r="K98" s="120">
        <v>-1</v>
      </c>
      <c r="L98" s="120">
        <v>-1</v>
      </c>
      <c r="M98" s="120">
        <v>-1</v>
      </c>
      <c r="N98" s="120">
        <v>-1</v>
      </c>
      <c r="O98" s="120">
        <v>-1</v>
      </c>
      <c r="P98" s="120">
        <v>-1</v>
      </c>
      <c r="Q98" s="120">
        <v>0</v>
      </c>
      <c r="R98" s="120">
        <v>0</v>
      </c>
      <c r="S98" s="120">
        <v>0</v>
      </c>
      <c r="T98" s="79"/>
      <c r="U98" s="79"/>
    </row>
    <row r="99" spans="5:23" x14ac:dyDescent="0.25">
      <c r="F99" s="37" t="s">
        <v>953</v>
      </c>
      <c r="G99" s="80" t="s">
        <v>176</v>
      </c>
      <c r="H99" s="37"/>
      <c r="I99" s="37"/>
      <c r="J99" s="125">
        <v>-1</v>
      </c>
      <c r="K99" s="125">
        <v>-1</v>
      </c>
      <c r="L99" s="125">
        <v>-1</v>
      </c>
      <c r="M99" s="125">
        <v>-1</v>
      </c>
      <c r="N99" s="125">
        <v>-1</v>
      </c>
      <c r="O99" s="125">
        <v>-1</v>
      </c>
      <c r="P99" s="125">
        <v>-1</v>
      </c>
      <c r="Q99" s="125">
        <v>0</v>
      </c>
      <c r="R99" s="125">
        <v>0</v>
      </c>
      <c r="S99" s="125">
        <v>0</v>
      </c>
      <c r="T99" s="81"/>
      <c r="U99" s="81"/>
    </row>
    <row r="100" spans="5:23" x14ac:dyDescent="0.25">
      <c r="G100" s="13"/>
      <c r="J100" s="89"/>
      <c r="K100" s="89"/>
      <c r="L100" s="89"/>
      <c r="M100" s="89"/>
      <c r="N100" s="89"/>
      <c r="O100" s="89"/>
      <c r="P100" s="89"/>
      <c r="Q100" s="89"/>
      <c r="R100" s="89"/>
      <c r="S100" s="89"/>
      <c r="T100" s="89"/>
      <c r="U100" s="89"/>
    </row>
    <row r="101" spans="5:23" x14ac:dyDescent="0.25">
      <c r="E101" s="32" t="s">
        <v>403</v>
      </c>
      <c r="G101" s="13"/>
      <c r="I101" t="s">
        <v>154</v>
      </c>
      <c r="J101" s="89"/>
      <c r="K101" s="89"/>
      <c r="L101" s="89"/>
      <c r="M101" s="89"/>
      <c r="N101" s="89"/>
      <c r="O101" s="89"/>
      <c r="P101" s="89"/>
      <c r="Q101" s="89"/>
      <c r="R101" s="89"/>
      <c r="S101" s="89"/>
      <c r="T101" s="89"/>
      <c r="U101" s="89"/>
      <c r="W101" s="3" t="s">
        <v>402</v>
      </c>
    </row>
    <row r="102" spans="5:23" x14ac:dyDescent="0.25">
      <c r="E102" s="29" t="s">
        <v>202</v>
      </c>
      <c r="G102" s="13"/>
      <c r="J102" s="89"/>
      <c r="K102" s="89"/>
      <c r="L102" s="89"/>
      <c r="M102" s="89"/>
      <c r="N102" s="89"/>
      <c r="O102" s="89"/>
      <c r="P102" s="89"/>
      <c r="Q102" s="89"/>
      <c r="R102" s="89"/>
      <c r="S102" s="89"/>
      <c r="T102" s="89"/>
      <c r="U102" s="89"/>
    </row>
    <row r="103" spans="5:23" x14ac:dyDescent="0.25">
      <c r="E103" s="29" t="s">
        <v>401</v>
      </c>
      <c r="G103" s="13"/>
      <c r="J103" s="89"/>
      <c r="K103" s="89"/>
      <c r="L103" s="89"/>
      <c r="M103" s="89"/>
      <c r="N103" s="89"/>
      <c r="O103" s="89"/>
      <c r="P103" s="89"/>
      <c r="Q103" s="89"/>
      <c r="R103" s="89"/>
      <c r="S103" s="89"/>
      <c r="T103" s="89"/>
      <c r="U103" s="89"/>
    </row>
    <row r="104" spans="5:23" x14ac:dyDescent="0.25">
      <c r="F104" s="23" t="s">
        <v>940</v>
      </c>
      <c r="G104" s="78" t="s">
        <v>176</v>
      </c>
      <c r="H104" s="23"/>
      <c r="I104" s="23"/>
      <c r="J104" s="126">
        <f t="shared" ref="J104:S104" si="21">IF(J$38 = "", J84, J84 * J$38)</f>
        <v>1</v>
      </c>
      <c r="K104" s="126">
        <f t="shared" si="21"/>
        <v>1</v>
      </c>
      <c r="L104" s="126">
        <f t="shared" si="21"/>
        <v>1</v>
      </c>
      <c r="M104" s="126">
        <f t="shared" si="21"/>
        <v>0.92495565728868046</v>
      </c>
      <c r="N104" s="126">
        <f t="shared" si="21"/>
        <v>0.92495565728868046</v>
      </c>
      <c r="O104" s="126">
        <f t="shared" si="21"/>
        <v>0.92495565728868046</v>
      </c>
      <c r="P104" s="126">
        <f t="shared" si="21"/>
        <v>7.5044342711319545E-2</v>
      </c>
      <c r="Q104" s="126">
        <f t="shared" si="21"/>
        <v>1</v>
      </c>
      <c r="R104" s="126">
        <f t="shared" si="21"/>
        <v>1</v>
      </c>
      <c r="S104" s="126">
        <f t="shared" si="21"/>
        <v>1</v>
      </c>
      <c r="T104" s="83"/>
      <c r="U104" s="83"/>
    </row>
    <row r="105" spans="5:23" x14ac:dyDescent="0.25">
      <c r="F105" t="s">
        <v>942</v>
      </c>
      <c r="G105" s="72" t="s">
        <v>176</v>
      </c>
      <c r="J105" s="98">
        <f t="shared" ref="J105:S105" si="22">IF(J$38 = "", J85, J85 * J$38)</f>
        <v>1</v>
      </c>
      <c r="K105" s="98">
        <f t="shared" si="22"/>
        <v>1</v>
      </c>
      <c r="L105" s="98">
        <f t="shared" si="22"/>
        <v>1</v>
      </c>
      <c r="M105" s="98">
        <f t="shared" si="22"/>
        <v>0.92495565728868046</v>
      </c>
      <c r="N105" s="98">
        <f t="shared" si="22"/>
        <v>0.92495565728868046</v>
      </c>
      <c r="O105" s="98">
        <f t="shared" si="22"/>
        <v>0.92495565728868046</v>
      </c>
      <c r="P105" s="98">
        <f t="shared" si="22"/>
        <v>7.5044342711319545E-2</v>
      </c>
      <c r="Q105" s="98">
        <f t="shared" si="22"/>
        <v>1</v>
      </c>
      <c r="R105" s="98">
        <f t="shared" si="22"/>
        <v>1</v>
      </c>
      <c r="S105" s="98">
        <f t="shared" si="22"/>
        <v>1</v>
      </c>
      <c r="T105" s="79"/>
      <c r="U105" s="79"/>
    </row>
    <row r="106" spans="5:23" x14ac:dyDescent="0.25">
      <c r="F106" t="s">
        <v>941</v>
      </c>
      <c r="G106" s="72" t="s">
        <v>176</v>
      </c>
      <c r="J106" s="98">
        <f t="shared" ref="J106:S106" si="23">IF(J$38 = "", J86, J86 * J$38)</f>
        <v>1</v>
      </c>
      <c r="K106" s="98">
        <f t="shared" si="23"/>
        <v>1</v>
      </c>
      <c r="L106" s="98">
        <f t="shared" si="23"/>
        <v>1</v>
      </c>
      <c r="M106" s="98">
        <f t="shared" si="23"/>
        <v>0.92495565728868046</v>
      </c>
      <c r="N106" s="98">
        <f t="shared" si="23"/>
        <v>0.92495565728868046</v>
      </c>
      <c r="O106" s="98">
        <f t="shared" si="23"/>
        <v>0.92495565728868046</v>
      </c>
      <c r="P106" s="98">
        <f t="shared" si="23"/>
        <v>7.5044342711319545E-2</v>
      </c>
      <c r="Q106" s="98">
        <f t="shared" si="23"/>
        <v>1</v>
      </c>
      <c r="R106" s="98">
        <f t="shared" si="23"/>
        <v>1</v>
      </c>
      <c r="S106" s="98">
        <f t="shared" si="23"/>
        <v>1</v>
      </c>
      <c r="T106" s="79"/>
      <c r="U106" s="79"/>
    </row>
    <row r="107" spans="5:23" x14ac:dyDescent="0.25">
      <c r="F107" t="s">
        <v>943</v>
      </c>
      <c r="G107" s="72" t="s">
        <v>176</v>
      </c>
      <c r="J107" s="98">
        <f t="shared" ref="J107:S107" si="24">IF(J$38 = "", J87, J87 * J$38)</f>
        <v>1</v>
      </c>
      <c r="K107" s="98">
        <f t="shared" si="24"/>
        <v>1</v>
      </c>
      <c r="L107" s="98">
        <f t="shared" si="24"/>
        <v>1</v>
      </c>
      <c r="M107" s="98">
        <f t="shared" si="24"/>
        <v>0.92495565728868046</v>
      </c>
      <c r="N107" s="98">
        <f t="shared" si="24"/>
        <v>0.92495565728868046</v>
      </c>
      <c r="O107" s="98">
        <f t="shared" si="24"/>
        <v>0.92495565728868046</v>
      </c>
      <c r="P107" s="98">
        <f t="shared" si="24"/>
        <v>7.5044342711319545E-2</v>
      </c>
      <c r="Q107" s="98">
        <f t="shared" si="24"/>
        <v>1</v>
      </c>
      <c r="R107" s="98">
        <f t="shared" si="24"/>
        <v>1</v>
      </c>
      <c r="S107" s="98">
        <f t="shared" si="24"/>
        <v>1</v>
      </c>
      <c r="T107" s="79"/>
      <c r="U107" s="79"/>
    </row>
    <row r="108" spans="5:23" x14ac:dyDescent="0.25">
      <c r="F108" t="s">
        <v>949</v>
      </c>
      <c r="G108" s="72" t="s">
        <v>176</v>
      </c>
      <c r="J108" s="98">
        <f t="shared" ref="J108:S108" si="25">IF(J$38 = "", J88, J88 * J$38)</f>
        <v>1</v>
      </c>
      <c r="K108" s="98">
        <f t="shared" si="25"/>
        <v>1</v>
      </c>
      <c r="L108" s="98">
        <f t="shared" si="25"/>
        <v>1</v>
      </c>
      <c r="M108" s="98">
        <f t="shared" si="25"/>
        <v>0.92495565728868046</v>
      </c>
      <c r="N108" s="98">
        <f t="shared" si="25"/>
        <v>0.92495565728868046</v>
      </c>
      <c r="O108" s="98">
        <f t="shared" si="25"/>
        <v>0.92495565728868046</v>
      </c>
      <c r="P108" s="98">
        <f t="shared" si="25"/>
        <v>7.5044342711319545E-2</v>
      </c>
      <c r="Q108" s="98">
        <f t="shared" si="25"/>
        <v>1</v>
      </c>
      <c r="R108" s="98">
        <f t="shared" si="25"/>
        <v>1</v>
      </c>
      <c r="S108" s="98">
        <f t="shared" si="25"/>
        <v>1</v>
      </c>
      <c r="T108" s="79"/>
      <c r="U108" s="79"/>
    </row>
    <row r="109" spans="5:23" x14ac:dyDescent="0.25">
      <c r="F109" t="s">
        <v>950</v>
      </c>
      <c r="G109" s="72" t="s">
        <v>176</v>
      </c>
      <c r="J109" s="98">
        <f t="shared" ref="J109:S109" si="26">IF(J$38 = "", J89, J89 * J$38)</f>
        <v>1</v>
      </c>
      <c r="K109" s="98">
        <f t="shared" si="26"/>
        <v>1</v>
      </c>
      <c r="L109" s="98">
        <f t="shared" si="26"/>
        <v>1</v>
      </c>
      <c r="M109" s="98">
        <f t="shared" si="26"/>
        <v>0.92495565728868046</v>
      </c>
      <c r="N109" s="98">
        <f t="shared" si="26"/>
        <v>0.92495565728868046</v>
      </c>
      <c r="O109" s="98">
        <f t="shared" si="26"/>
        <v>0.92495565728868046</v>
      </c>
      <c r="P109" s="98">
        <f t="shared" si="26"/>
        <v>7.5044342711319545E-2</v>
      </c>
      <c r="Q109" s="98">
        <f t="shared" si="26"/>
        <v>1</v>
      </c>
      <c r="R109" s="98">
        <f t="shared" si="26"/>
        <v>1</v>
      </c>
      <c r="S109" s="98">
        <f t="shared" si="26"/>
        <v>0</v>
      </c>
      <c r="T109" s="79"/>
      <c r="U109" s="79"/>
    </row>
    <row r="110" spans="5:23" x14ac:dyDescent="0.25">
      <c r="F110" t="s">
        <v>951</v>
      </c>
      <c r="G110" s="72" t="s">
        <v>176</v>
      </c>
      <c r="J110" s="98">
        <f t="shared" ref="J110:S110" si="27">IF(J$38 = "", J90, J90 * J$38)</f>
        <v>1</v>
      </c>
      <c r="K110" s="98">
        <f t="shared" si="27"/>
        <v>1</v>
      </c>
      <c r="L110" s="98">
        <f t="shared" si="27"/>
        <v>1</v>
      </c>
      <c r="M110" s="98">
        <f t="shared" si="27"/>
        <v>0.92495565728868046</v>
      </c>
      <c r="N110" s="98">
        <f t="shared" si="27"/>
        <v>0.92495565728868046</v>
      </c>
      <c r="O110" s="98">
        <f t="shared" si="27"/>
        <v>0.92495565728868046</v>
      </c>
      <c r="P110" s="98">
        <f t="shared" si="27"/>
        <v>7.5044342711319545E-2</v>
      </c>
      <c r="Q110" s="98">
        <f t="shared" si="27"/>
        <v>1</v>
      </c>
      <c r="R110" s="98">
        <f t="shared" si="27"/>
        <v>0</v>
      </c>
      <c r="S110" s="98">
        <f t="shared" si="27"/>
        <v>0</v>
      </c>
      <c r="T110" s="79"/>
      <c r="U110" s="79"/>
    </row>
    <row r="111" spans="5:23" x14ac:dyDescent="0.25">
      <c r="F111" t="s">
        <v>952</v>
      </c>
      <c r="G111" s="72" t="s">
        <v>176</v>
      </c>
      <c r="J111" s="98">
        <f t="shared" ref="J111:S111" si="28">IF(J$38 = "", J91, J91 * J$38)</f>
        <v>1</v>
      </c>
      <c r="K111" s="98">
        <f t="shared" si="28"/>
        <v>1</v>
      </c>
      <c r="L111" s="98">
        <f t="shared" si="28"/>
        <v>1</v>
      </c>
      <c r="M111" s="98">
        <f t="shared" si="28"/>
        <v>0.92495565728868046</v>
      </c>
      <c r="N111" s="98">
        <f t="shared" si="28"/>
        <v>0.92495565728868046</v>
      </c>
      <c r="O111" s="98">
        <f t="shared" si="28"/>
        <v>0.92495565728868046</v>
      </c>
      <c r="P111" s="98">
        <f t="shared" si="28"/>
        <v>7.5044342711319545E-2</v>
      </c>
      <c r="Q111" s="98">
        <f t="shared" si="28"/>
        <v>1</v>
      </c>
      <c r="R111" s="98">
        <f t="shared" si="28"/>
        <v>1</v>
      </c>
      <c r="S111" s="98">
        <f t="shared" si="28"/>
        <v>1</v>
      </c>
      <c r="T111" s="79"/>
      <c r="U111" s="79"/>
    </row>
    <row r="112" spans="5:23" x14ac:dyDescent="0.25">
      <c r="F112" t="s">
        <v>944</v>
      </c>
      <c r="G112" s="72" t="s">
        <v>176</v>
      </c>
      <c r="J112" s="98">
        <f t="shared" ref="J112:S112" si="29">IF(J$38 = "", J92, J92 * J$38)</f>
        <v>-1</v>
      </c>
      <c r="K112" s="98">
        <f t="shared" si="29"/>
        <v>-1</v>
      </c>
      <c r="L112" s="98">
        <f t="shared" si="29"/>
        <v>-1</v>
      </c>
      <c r="M112" s="98">
        <f t="shared" si="29"/>
        <v>-0.92495565728868046</v>
      </c>
      <c r="N112" s="98">
        <f t="shared" si="29"/>
        <v>-0.92495565728868046</v>
      </c>
      <c r="O112" s="98">
        <f t="shared" si="29"/>
        <v>-0.92495565728868046</v>
      </c>
      <c r="P112" s="98">
        <f t="shared" si="29"/>
        <v>-7.5044342711319545E-2</v>
      </c>
      <c r="Q112" s="98">
        <f t="shared" si="29"/>
        <v>-1</v>
      </c>
      <c r="R112" s="98">
        <f t="shared" si="29"/>
        <v>-1</v>
      </c>
      <c r="S112" s="98">
        <f t="shared" si="29"/>
        <v>0</v>
      </c>
      <c r="T112" s="79"/>
      <c r="U112" s="79"/>
    </row>
    <row r="113" spans="3:23" x14ac:dyDescent="0.25">
      <c r="F113" t="s">
        <v>945</v>
      </c>
      <c r="G113" s="72" t="s">
        <v>176</v>
      </c>
      <c r="J113" s="98">
        <f t="shared" ref="J113:S113" si="30">IF(J$38 = "", J93, J93 * J$38)</f>
        <v>-1</v>
      </c>
      <c r="K113" s="98">
        <f t="shared" si="30"/>
        <v>-1</v>
      </c>
      <c r="L113" s="98">
        <f t="shared" si="30"/>
        <v>-1</v>
      </c>
      <c r="M113" s="98">
        <f t="shared" si="30"/>
        <v>-0.92495565728868046</v>
      </c>
      <c r="N113" s="98">
        <f t="shared" si="30"/>
        <v>-0.92495565728868046</v>
      </c>
      <c r="O113" s="98">
        <f t="shared" si="30"/>
        <v>-0.92495565728868046</v>
      </c>
      <c r="P113" s="98">
        <f t="shared" si="30"/>
        <v>-7.5044342711319545E-2</v>
      </c>
      <c r="Q113" s="98">
        <f t="shared" si="30"/>
        <v>-1</v>
      </c>
      <c r="R113" s="98">
        <f t="shared" si="30"/>
        <v>0</v>
      </c>
      <c r="S113" s="98">
        <f t="shared" si="30"/>
        <v>0</v>
      </c>
      <c r="T113" s="79"/>
      <c r="U113" s="79"/>
    </row>
    <row r="114" spans="3:23" x14ac:dyDescent="0.25">
      <c r="F114" t="s">
        <v>946</v>
      </c>
      <c r="G114" s="72" t="s">
        <v>176</v>
      </c>
      <c r="J114" s="98">
        <f t="shared" ref="J114:S114" si="31">IF(J$38 = "", J94, J94 * J$38)</f>
        <v>-1</v>
      </c>
      <c r="K114" s="98">
        <f t="shared" si="31"/>
        <v>-1</v>
      </c>
      <c r="L114" s="98">
        <f t="shared" si="31"/>
        <v>-1</v>
      </c>
      <c r="M114" s="98">
        <f t="shared" si="31"/>
        <v>-0.92495565728868046</v>
      </c>
      <c r="N114" s="98">
        <f t="shared" si="31"/>
        <v>-0.92495565728868046</v>
      </c>
      <c r="O114" s="98">
        <f t="shared" si="31"/>
        <v>-0.92495565728868046</v>
      </c>
      <c r="P114" s="98">
        <f t="shared" si="31"/>
        <v>-7.5044342711319545E-2</v>
      </c>
      <c r="Q114" s="98">
        <f t="shared" si="31"/>
        <v>-1</v>
      </c>
      <c r="R114" s="98">
        <f t="shared" si="31"/>
        <v>-1</v>
      </c>
      <c r="S114" s="98">
        <f t="shared" si="31"/>
        <v>0</v>
      </c>
      <c r="T114" s="79"/>
      <c r="U114" s="79"/>
    </row>
    <row r="115" spans="3:23" x14ac:dyDescent="0.25">
      <c r="F115" t="s">
        <v>955</v>
      </c>
      <c r="G115" s="72" t="s">
        <v>176</v>
      </c>
      <c r="J115" s="98">
        <f t="shared" ref="J115:S115" si="32">IF(J$38 = "", J95, J95 * J$38)</f>
        <v>-1</v>
      </c>
      <c r="K115" s="98">
        <f t="shared" si="32"/>
        <v>-1</v>
      </c>
      <c r="L115" s="98">
        <f t="shared" si="32"/>
        <v>-1</v>
      </c>
      <c r="M115" s="98">
        <f t="shared" si="32"/>
        <v>-0.92495565728868046</v>
      </c>
      <c r="N115" s="98">
        <f t="shared" si="32"/>
        <v>-0.92495565728868046</v>
      </c>
      <c r="O115" s="98">
        <f t="shared" si="32"/>
        <v>-0.92495565728868046</v>
      </c>
      <c r="P115" s="98">
        <f t="shared" si="32"/>
        <v>-7.5044342711319545E-2</v>
      </c>
      <c r="Q115" s="98">
        <f t="shared" si="32"/>
        <v>-1</v>
      </c>
      <c r="R115" s="98">
        <f t="shared" si="32"/>
        <v>-1</v>
      </c>
      <c r="S115" s="98">
        <f t="shared" si="32"/>
        <v>0</v>
      </c>
      <c r="T115" s="79"/>
      <c r="U115" s="79"/>
    </row>
    <row r="116" spans="3:23" x14ac:dyDescent="0.25">
      <c r="F116" t="s">
        <v>947</v>
      </c>
      <c r="G116" s="72" t="s">
        <v>176</v>
      </c>
      <c r="J116" s="98">
        <f t="shared" ref="J116:S116" si="33">IF(J$38 = "", J96, J96 * J$38)</f>
        <v>-1</v>
      </c>
      <c r="K116" s="98">
        <f t="shared" si="33"/>
        <v>-1</v>
      </c>
      <c r="L116" s="98">
        <f t="shared" si="33"/>
        <v>-1</v>
      </c>
      <c r="M116" s="98">
        <f t="shared" si="33"/>
        <v>-0.92495565728868046</v>
      </c>
      <c r="N116" s="98">
        <f t="shared" si="33"/>
        <v>-0.92495565728868046</v>
      </c>
      <c r="O116" s="98">
        <f t="shared" si="33"/>
        <v>-0.92495565728868046</v>
      </c>
      <c r="P116" s="98">
        <f t="shared" si="33"/>
        <v>-7.5044342711319545E-2</v>
      </c>
      <c r="Q116" s="98">
        <f t="shared" si="33"/>
        <v>-1</v>
      </c>
      <c r="R116" s="98">
        <f t="shared" si="33"/>
        <v>0</v>
      </c>
      <c r="S116" s="98">
        <f t="shared" si="33"/>
        <v>0</v>
      </c>
      <c r="T116" s="79"/>
      <c r="U116" s="79"/>
    </row>
    <row r="117" spans="3:23" x14ac:dyDescent="0.25">
      <c r="F117" t="s">
        <v>954</v>
      </c>
      <c r="G117" s="72" t="s">
        <v>176</v>
      </c>
      <c r="J117" s="98">
        <f t="shared" ref="J117:S117" si="34">IF(J$38 = "", J97, J97 * J$38)</f>
        <v>-1</v>
      </c>
      <c r="K117" s="98">
        <f t="shared" si="34"/>
        <v>-1</v>
      </c>
      <c r="L117" s="98">
        <f t="shared" si="34"/>
        <v>-1</v>
      </c>
      <c r="M117" s="98">
        <f t="shared" si="34"/>
        <v>-0.92495565728868046</v>
      </c>
      <c r="N117" s="98">
        <f t="shared" si="34"/>
        <v>-0.92495565728868046</v>
      </c>
      <c r="O117" s="98">
        <f t="shared" si="34"/>
        <v>-0.92495565728868046</v>
      </c>
      <c r="P117" s="98">
        <f t="shared" si="34"/>
        <v>-7.5044342711319545E-2</v>
      </c>
      <c r="Q117" s="98">
        <f t="shared" si="34"/>
        <v>-1</v>
      </c>
      <c r="R117" s="98">
        <f t="shared" si="34"/>
        <v>0</v>
      </c>
      <c r="S117" s="98">
        <f t="shared" si="34"/>
        <v>0</v>
      </c>
      <c r="T117" s="79"/>
      <c r="U117" s="79"/>
    </row>
    <row r="118" spans="3:23" x14ac:dyDescent="0.25">
      <c r="F118" t="s">
        <v>948</v>
      </c>
      <c r="G118" s="72" t="s">
        <v>176</v>
      </c>
      <c r="J118" s="98">
        <f t="shared" ref="J118:S118" si="35">IF(J$38 = "", J98, J98 * J$38)</f>
        <v>-1</v>
      </c>
      <c r="K118" s="98">
        <f t="shared" si="35"/>
        <v>-1</v>
      </c>
      <c r="L118" s="98">
        <f t="shared" si="35"/>
        <v>-1</v>
      </c>
      <c r="M118" s="98">
        <f t="shared" si="35"/>
        <v>-0.92495565728868046</v>
      </c>
      <c r="N118" s="98">
        <f t="shared" si="35"/>
        <v>-0.92495565728868046</v>
      </c>
      <c r="O118" s="98">
        <f t="shared" si="35"/>
        <v>-0.92495565728868046</v>
      </c>
      <c r="P118" s="98">
        <f t="shared" si="35"/>
        <v>-7.5044342711319545E-2</v>
      </c>
      <c r="Q118" s="98">
        <f t="shared" si="35"/>
        <v>0</v>
      </c>
      <c r="R118" s="98">
        <f t="shared" si="35"/>
        <v>0</v>
      </c>
      <c r="S118" s="98">
        <f t="shared" si="35"/>
        <v>0</v>
      </c>
      <c r="T118" s="79"/>
      <c r="U118" s="79"/>
    </row>
    <row r="119" spans="3:23" x14ac:dyDescent="0.25">
      <c r="F119" s="37" t="s">
        <v>953</v>
      </c>
      <c r="G119" s="80" t="s">
        <v>176</v>
      </c>
      <c r="H119" s="37"/>
      <c r="I119" s="37"/>
      <c r="J119" s="100">
        <f t="shared" ref="J119:S119" si="36">IF(J$38 = "", J99, J99 * J$38)</f>
        <v>-1</v>
      </c>
      <c r="K119" s="100">
        <f t="shared" si="36"/>
        <v>-1</v>
      </c>
      <c r="L119" s="100">
        <f t="shared" si="36"/>
        <v>-1</v>
      </c>
      <c r="M119" s="100">
        <f t="shared" si="36"/>
        <v>-0.92495565728868046</v>
      </c>
      <c r="N119" s="100">
        <f t="shared" si="36"/>
        <v>-0.92495565728868046</v>
      </c>
      <c r="O119" s="100">
        <f t="shared" si="36"/>
        <v>-0.92495565728868046</v>
      </c>
      <c r="P119" s="100">
        <f t="shared" si="36"/>
        <v>-7.5044342711319545E-2</v>
      </c>
      <c r="Q119" s="100">
        <f t="shared" si="36"/>
        <v>0</v>
      </c>
      <c r="R119" s="100">
        <f t="shared" si="36"/>
        <v>0</v>
      </c>
      <c r="S119" s="100">
        <f t="shared" si="36"/>
        <v>0</v>
      </c>
      <c r="T119" s="81"/>
      <c r="U119" s="81"/>
    </row>
    <row r="120" spans="3:23" x14ac:dyDescent="0.25">
      <c r="G120" s="13"/>
      <c r="J120" s="89"/>
      <c r="K120" s="89"/>
      <c r="L120" s="89"/>
      <c r="M120" s="89"/>
      <c r="N120" s="89"/>
      <c r="O120" s="89"/>
      <c r="P120" s="89"/>
      <c r="Q120" s="89"/>
      <c r="R120" s="89"/>
      <c r="S120" s="89"/>
      <c r="T120" s="89"/>
      <c r="U120" s="89"/>
    </row>
    <row r="121" spans="3:23" x14ac:dyDescent="0.25">
      <c r="C121" s="31" t="str">
        <f ca="1">INDEX('Version control'!$H$34:$H$57,MATCH($A$1,'Version control'!$F$34:$F$57,0),1)&amp;"-E: User loss factors"</f>
        <v>Section 102-E: User loss factors</v>
      </c>
      <c r="D121" s="31"/>
      <c r="E121" s="31"/>
      <c r="F121" s="31"/>
      <c r="G121" s="31"/>
      <c r="H121" s="31"/>
      <c r="I121" s="31"/>
      <c r="J121" s="90"/>
      <c r="K121" s="90"/>
      <c r="L121" s="90"/>
      <c r="M121" s="90"/>
      <c r="N121" s="90"/>
      <c r="O121" s="90"/>
      <c r="P121" s="90"/>
      <c r="Q121" s="90"/>
      <c r="R121" s="90"/>
      <c r="S121" s="90"/>
      <c r="T121" s="90"/>
      <c r="U121" s="90"/>
      <c r="V121" s="31"/>
      <c r="W121" s="31"/>
    </row>
    <row r="122" spans="3:23" x14ac:dyDescent="0.25">
      <c r="H122" s="3"/>
      <c r="I122" s="3"/>
      <c r="J122" s="127"/>
      <c r="K122" s="127"/>
      <c r="L122" s="127"/>
      <c r="M122" s="127"/>
      <c r="N122" s="127"/>
      <c r="O122" s="127"/>
      <c r="P122" s="127"/>
      <c r="Q122" s="127"/>
      <c r="R122" s="127"/>
      <c r="S122" s="127"/>
      <c r="T122" s="127"/>
      <c r="U122" s="127"/>
      <c r="W122" s="3"/>
    </row>
    <row r="123" spans="3:23" x14ac:dyDescent="0.25">
      <c r="E123" s="32" t="s">
        <v>404</v>
      </c>
      <c r="G123" s="13"/>
      <c r="J123" s="89"/>
      <c r="K123" s="89"/>
      <c r="L123" s="89"/>
      <c r="M123" s="89"/>
      <c r="N123" s="89"/>
      <c r="O123" s="89"/>
      <c r="P123" s="89"/>
      <c r="Q123" s="89"/>
      <c r="R123" s="89"/>
      <c r="S123" s="89"/>
      <c r="T123" s="89"/>
      <c r="U123" s="89"/>
      <c r="W123" s="3"/>
    </row>
    <row r="124" spans="3:23" x14ac:dyDescent="0.25">
      <c r="E124" s="29" t="s">
        <v>405</v>
      </c>
      <c r="G124" s="13"/>
      <c r="J124" s="89"/>
      <c r="K124" s="89"/>
      <c r="L124" s="89"/>
      <c r="M124" s="89"/>
      <c r="N124" s="89"/>
      <c r="O124" s="89"/>
      <c r="P124" s="89"/>
      <c r="Q124" s="89"/>
      <c r="R124" s="89"/>
      <c r="S124" s="89"/>
      <c r="T124" s="89"/>
      <c r="U124" s="89"/>
    </row>
    <row r="125" spans="3:23" x14ac:dyDescent="0.25">
      <c r="E125" s="29" t="s">
        <v>406</v>
      </c>
      <c r="G125" s="13"/>
      <c r="H125" s="128" t="s">
        <v>407</v>
      </c>
      <c r="J125" s="89"/>
      <c r="K125" s="89"/>
      <c r="L125" s="89"/>
      <c r="M125" s="89"/>
      <c r="N125" s="89"/>
      <c r="O125" s="89"/>
      <c r="P125" s="89"/>
      <c r="Q125" s="89"/>
      <c r="R125" s="89"/>
      <c r="S125" s="89"/>
      <c r="T125" s="89"/>
      <c r="U125" s="89"/>
    </row>
    <row r="126" spans="3:23" x14ac:dyDescent="0.25">
      <c r="F126" s="23" t="s">
        <v>940</v>
      </c>
      <c r="G126" s="78" t="s">
        <v>283</v>
      </c>
      <c r="H126" s="126">
        <f t="shared" ref="H126:H141" si="37">MAX(J126:S126)</f>
        <v>1.0780000000000001</v>
      </c>
      <c r="I126" s="23"/>
      <c r="J126" s="126">
        <f>OR(SUM(J65:$S65) = 1, SUM(J65:$S65) = -1) * J$29</f>
        <v>0</v>
      </c>
      <c r="K126" s="126">
        <f>OR(SUM(K65:$S65) = 1, SUM(K65:$S65) = -1) * K$29</f>
        <v>0</v>
      </c>
      <c r="L126" s="126">
        <f>OR(SUM(L65:$S65) = 1, SUM(L65:$S65) = -1) * L$29</f>
        <v>0</v>
      </c>
      <c r="M126" s="126">
        <f>OR(SUM(M65:$S65) = 1, SUM(M65:$S65) = -1) * M$29</f>
        <v>0</v>
      </c>
      <c r="N126" s="126">
        <f>OR(SUM(N65:$S65) = 1, SUM(N65:$S65) = -1) * N$29</f>
        <v>0</v>
      </c>
      <c r="O126" s="126">
        <f>OR(SUM(O65:$S65) = 1, SUM(O65:$S65) = -1) * O$29</f>
        <v>0</v>
      </c>
      <c r="P126" s="126">
        <f>OR(SUM(P65:$S65) = 1, SUM(P65:$S65) = -1) * P$29</f>
        <v>0</v>
      </c>
      <c r="Q126" s="126">
        <f>OR(SUM(Q65:$S65) = 1, SUM(Q65:$S65) = -1) * Q$29</f>
        <v>0</v>
      </c>
      <c r="R126" s="126">
        <f>OR(SUM(R65:$S65) = 1, SUM(R65:$S65) = -1) * R$29</f>
        <v>0</v>
      </c>
      <c r="S126" s="126">
        <f>OR(SUM(S65:$S65) = 1, SUM(S65:$S65) = -1) * S$29</f>
        <v>1.0780000000000001</v>
      </c>
      <c r="T126" s="83"/>
      <c r="U126" s="83"/>
      <c r="W126" s="3"/>
    </row>
    <row r="127" spans="3:23" x14ac:dyDescent="0.25">
      <c r="F127" t="s">
        <v>942</v>
      </c>
      <c r="G127" s="72" t="s">
        <v>283</v>
      </c>
      <c r="H127" s="98">
        <f t="shared" si="37"/>
        <v>1.0780000000000001</v>
      </c>
      <c r="J127" s="98">
        <f>OR(SUM(J66:$S66) = 1, SUM(J66:$S66) = -1) * J$29</f>
        <v>0</v>
      </c>
      <c r="K127" s="98">
        <f>OR(SUM(K66:$S66) = 1, SUM(K66:$S66) = -1) * K$29</f>
        <v>0</v>
      </c>
      <c r="L127" s="98">
        <f>OR(SUM(L66:$S66) = 1, SUM(L66:$S66) = -1) * L$29</f>
        <v>0</v>
      </c>
      <c r="M127" s="98">
        <f>OR(SUM(M66:$S66) = 1, SUM(M66:$S66) = -1) * M$29</f>
        <v>0</v>
      </c>
      <c r="N127" s="98">
        <f>OR(SUM(N66:$S66) = 1, SUM(N66:$S66) = -1) * N$29</f>
        <v>0</v>
      </c>
      <c r="O127" s="98">
        <f>OR(SUM(O66:$S66) = 1, SUM(O66:$S66) = -1) * O$29</f>
        <v>0</v>
      </c>
      <c r="P127" s="98">
        <f>OR(SUM(P66:$S66) = 1, SUM(P66:$S66) = -1) * P$29</f>
        <v>0</v>
      </c>
      <c r="Q127" s="98">
        <f>OR(SUM(Q66:$S66) = 1, SUM(Q66:$S66) = -1) * Q$29</f>
        <v>0</v>
      </c>
      <c r="R127" s="98">
        <f>OR(SUM(R66:$S66) = 1, SUM(R66:$S66) = -1) * R$29</f>
        <v>0</v>
      </c>
      <c r="S127" s="98">
        <f>OR(SUM(S66:$S66) = 1, SUM(S66:$S66) = -1) * S$29</f>
        <v>1.0780000000000001</v>
      </c>
      <c r="T127" s="79"/>
      <c r="U127" s="79"/>
      <c r="W127" s="3"/>
    </row>
    <row r="128" spans="3:23" x14ac:dyDescent="0.25">
      <c r="F128" t="s">
        <v>941</v>
      </c>
      <c r="G128" s="72" t="s">
        <v>283</v>
      </c>
      <c r="H128" s="98">
        <f t="shared" si="37"/>
        <v>1.0780000000000001</v>
      </c>
      <c r="J128" s="98">
        <f>OR(SUM(J67:$S67) = 1, SUM(J67:$S67) = -1) * J$29</f>
        <v>0</v>
      </c>
      <c r="K128" s="98">
        <f>OR(SUM(K67:$S67) = 1, SUM(K67:$S67) = -1) * K$29</f>
        <v>0</v>
      </c>
      <c r="L128" s="98">
        <f>OR(SUM(L67:$S67) = 1, SUM(L67:$S67) = -1) * L$29</f>
        <v>0</v>
      </c>
      <c r="M128" s="98">
        <f>OR(SUM(M67:$S67) = 1, SUM(M67:$S67) = -1) * M$29</f>
        <v>0</v>
      </c>
      <c r="N128" s="98">
        <f>OR(SUM(N67:$S67) = 1, SUM(N67:$S67) = -1) * N$29</f>
        <v>0</v>
      </c>
      <c r="O128" s="98">
        <f>OR(SUM(O67:$S67) = 1, SUM(O67:$S67) = -1) * O$29</f>
        <v>0</v>
      </c>
      <c r="P128" s="98">
        <f>OR(SUM(P67:$S67) = 1, SUM(P67:$S67) = -1) * P$29</f>
        <v>0</v>
      </c>
      <c r="Q128" s="98">
        <f>OR(SUM(Q67:$S67) = 1, SUM(Q67:$S67) = -1) * Q$29</f>
        <v>0</v>
      </c>
      <c r="R128" s="98">
        <f>OR(SUM(R67:$S67) = 1, SUM(R67:$S67) = -1) * R$29</f>
        <v>0</v>
      </c>
      <c r="S128" s="98">
        <f>OR(SUM(S67:$S67) = 1, SUM(S67:$S67) = -1) * S$29</f>
        <v>1.0780000000000001</v>
      </c>
      <c r="T128" s="79"/>
      <c r="U128" s="79"/>
      <c r="W128" s="3"/>
    </row>
    <row r="129" spans="5:23" x14ac:dyDescent="0.25">
      <c r="F129" t="s">
        <v>943</v>
      </c>
      <c r="G129" s="72" t="s">
        <v>283</v>
      </c>
      <c r="H129" s="98">
        <f t="shared" si="37"/>
        <v>1.0780000000000001</v>
      </c>
      <c r="J129" s="98">
        <f>OR(SUM(J68:$S68) = 1, SUM(J68:$S68) = -1) * J$29</f>
        <v>0</v>
      </c>
      <c r="K129" s="98">
        <f>OR(SUM(K68:$S68) = 1, SUM(K68:$S68) = -1) * K$29</f>
        <v>0</v>
      </c>
      <c r="L129" s="98">
        <f>OR(SUM(L68:$S68) = 1, SUM(L68:$S68) = -1) * L$29</f>
        <v>0</v>
      </c>
      <c r="M129" s="98">
        <f>OR(SUM(M68:$S68) = 1, SUM(M68:$S68) = -1) * M$29</f>
        <v>0</v>
      </c>
      <c r="N129" s="98">
        <f>OR(SUM(N68:$S68) = 1, SUM(N68:$S68) = -1) * N$29</f>
        <v>0</v>
      </c>
      <c r="O129" s="98">
        <f>OR(SUM(O68:$S68) = 1, SUM(O68:$S68) = -1) * O$29</f>
        <v>0</v>
      </c>
      <c r="P129" s="98">
        <f>OR(SUM(P68:$S68) = 1, SUM(P68:$S68) = -1) * P$29</f>
        <v>0</v>
      </c>
      <c r="Q129" s="98">
        <f>OR(SUM(Q68:$S68) = 1, SUM(Q68:$S68) = -1) * Q$29</f>
        <v>0</v>
      </c>
      <c r="R129" s="98">
        <f>OR(SUM(R68:$S68) = 1, SUM(R68:$S68) = -1) * R$29</f>
        <v>0</v>
      </c>
      <c r="S129" s="98">
        <f>OR(SUM(S68:$S68) = 1, SUM(S68:$S68) = -1) * S$29</f>
        <v>1.0780000000000001</v>
      </c>
      <c r="T129" s="79"/>
      <c r="U129" s="79"/>
    </row>
    <row r="130" spans="5:23" x14ac:dyDescent="0.25">
      <c r="F130" t="s">
        <v>949</v>
      </c>
      <c r="G130" s="72" t="s">
        <v>283</v>
      </c>
      <c r="H130" s="98">
        <f t="shared" si="37"/>
        <v>1.0780000000000001</v>
      </c>
      <c r="J130" s="98">
        <f>OR(SUM(J69:$S69) = 1, SUM(J69:$S69) = -1) * J$29</f>
        <v>0</v>
      </c>
      <c r="K130" s="98">
        <f>OR(SUM(K69:$S69) = 1, SUM(K69:$S69) = -1) * K$29</f>
        <v>0</v>
      </c>
      <c r="L130" s="98">
        <f>OR(SUM(L69:$S69) = 1, SUM(L69:$S69) = -1) * L$29</f>
        <v>0</v>
      </c>
      <c r="M130" s="98">
        <f>OR(SUM(M69:$S69) = 1, SUM(M69:$S69) = -1) * M$29</f>
        <v>0</v>
      </c>
      <c r="N130" s="98">
        <f>OR(SUM(N69:$S69) = 1, SUM(N69:$S69) = -1) * N$29</f>
        <v>0</v>
      </c>
      <c r="O130" s="98">
        <f>OR(SUM(O69:$S69) = 1, SUM(O69:$S69) = -1) * O$29</f>
        <v>0</v>
      </c>
      <c r="P130" s="98">
        <f>OR(SUM(P69:$S69) = 1, SUM(P69:$S69) = -1) * P$29</f>
        <v>0</v>
      </c>
      <c r="Q130" s="98">
        <f>OR(SUM(Q69:$S69) = 1, SUM(Q69:$S69) = -1) * Q$29</f>
        <v>0</v>
      </c>
      <c r="R130" s="98">
        <f>OR(SUM(R69:$S69) = 1, SUM(R69:$S69) = -1) * R$29</f>
        <v>0</v>
      </c>
      <c r="S130" s="98">
        <f>OR(SUM(S69:$S69) = 1, SUM(S69:$S69) = -1) * S$29</f>
        <v>1.0780000000000001</v>
      </c>
      <c r="T130" s="79"/>
      <c r="U130" s="79"/>
    </row>
    <row r="131" spans="5:23" x14ac:dyDescent="0.25">
      <c r="F131" t="s">
        <v>950</v>
      </c>
      <c r="G131" s="72" t="s">
        <v>283</v>
      </c>
      <c r="H131" s="98">
        <f t="shared" si="37"/>
        <v>1.0469999999999999</v>
      </c>
      <c r="J131" s="98">
        <f>OR(SUM(J70:$S70) = 1, SUM(J70:$S70) = -1) * J$29</f>
        <v>0</v>
      </c>
      <c r="K131" s="98">
        <f>OR(SUM(K70:$S70) = 1, SUM(K70:$S70) = -1) * K$29</f>
        <v>0</v>
      </c>
      <c r="L131" s="98">
        <f>OR(SUM(L70:$S70) = 1, SUM(L70:$S70) = -1) * L$29</f>
        <v>0</v>
      </c>
      <c r="M131" s="98">
        <f>OR(SUM(M70:$S70) = 1, SUM(M70:$S70) = -1) * M$29</f>
        <v>0</v>
      </c>
      <c r="N131" s="98">
        <f>OR(SUM(N70:$S70) = 1, SUM(N70:$S70) = -1) * N$29</f>
        <v>0</v>
      </c>
      <c r="O131" s="98">
        <f>OR(SUM(O70:$S70) = 1, SUM(O70:$S70) = -1) * O$29</f>
        <v>0</v>
      </c>
      <c r="P131" s="98">
        <f>OR(SUM(P70:$S70) = 1, SUM(P70:$S70) = -1) * P$29</f>
        <v>0</v>
      </c>
      <c r="Q131" s="98">
        <f>OR(SUM(Q70:$S70) = 1, SUM(Q70:$S70) = -1) * Q$29</f>
        <v>0</v>
      </c>
      <c r="R131" s="98">
        <f>OR(SUM(R70:$S70) = 1, SUM(R70:$S70) = -1) * R$29</f>
        <v>1.0469999999999999</v>
      </c>
      <c r="S131" s="98">
        <f>OR(SUM(S70:$S70) = 1, SUM(S70:$S70) = -1) * S$29</f>
        <v>0</v>
      </c>
      <c r="T131" s="79"/>
      <c r="U131" s="79"/>
    </row>
    <row r="132" spans="5:23" x14ac:dyDescent="0.25">
      <c r="F132" t="s">
        <v>951</v>
      </c>
      <c r="G132" s="72" t="s">
        <v>283</v>
      </c>
      <c r="H132" s="98">
        <f t="shared" si="37"/>
        <v>1.036</v>
      </c>
      <c r="J132" s="98">
        <f>OR(SUM(J71:$S71) = 1, SUM(J71:$S71) = -1) * J$29</f>
        <v>0</v>
      </c>
      <c r="K132" s="98">
        <f>OR(SUM(K71:$S71) = 1, SUM(K71:$S71) = -1) * K$29</f>
        <v>0</v>
      </c>
      <c r="L132" s="98">
        <f>OR(SUM(L71:$S71) = 1, SUM(L71:$S71) = -1) * L$29</f>
        <v>0</v>
      </c>
      <c r="M132" s="98">
        <f>OR(SUM(M71:$S71) = 1, SUM(M71:$S71) = -1) * M$29</f>
        <v>0</v>
      </c>
      <c r="N132" s="98">
        <f>OR(SUM(N71:$S71) = 1, SUM(N71:$S71) = -1) * N$29</f>
        <v>0</v>
      </c>
      <c r="O132" s="98">
        <f>OR(SUM(O71:$S71) = 1, SUM(O71:$S71) = -1) * O$29</f>
        <v>0</v>
      </c>
      <c r="P132" s="98">
        <f>OR(SUM(P71:$S71) = 1, SUM(P71:$S71) = -1) * P$29</f>
        <v>0</v>
      </c>
      <c r="Q132" s="98">
        <f>OR(SUM(Q71:$S71) = 1, SUM(Q71:$S71) = -1) * Q$29</f>
        <v>1.036</v>
      </c>
      <c r="R132" s="98">
        <f>OR(SUM(R71:$S71) = 1, SUM(R71:$S71) = -1) * R$29</f>
        <v>0</v>
      </c>
      <c r="S132" s="98">
        <f>OR(SUM(S71:$S71) = 1, SUM(S71:$S71) = -1) * S$29</f>
        <v>0</v>
      </c>
      <c r="T132" s="79"/>
      <c r="U132" s="79"/>
    </row>
    <row r="133" spans="5:23" x14ac:dyDescent="0.25">
      <c r="F133" t="s">
        <v>952</v>
      </c>
      <c r="G133" s="72" t="s">
        <v>283</v>
      </c>
      <c r="H133" s="98">
        <f t="shared" si="37"/>
        <v>1.0780000000000001</v>
      </c>
      <c r="J133" s="98">
        <f>OR(SUM(J72:$S72) = 1, SUM(J72:$S72) = -1) * J$29</f>
        <v>0</v>
      </c>
      <c r="K133" s="98">
        <f>OR(SUM(K72:$S72) = 1, SUM(K72:$S72) = -1) * K$29</f>
        <v>0</v>
      </c>
      <c r="L133" s="98">
        <f>OR(SUM(L72:$S72) = 1, SUM(L72:$S72) = -1) * L$29</f>
        <v>0</v>
      </c>
      <c r="M133" s="98">
        <f>OR(SUM(M72:$S72) = 1, SUM(M72:$S72) = -1) * M$29</f>
        <v>0</v>
      </c>
      <c r="N133" s="98">
        <f>OR(SUM(N72:$S72) = 1, SUM(N72:$S72) = -1) * N$29</f>
        <v>0</v>
      </c>
      <c r="O133" s="98">
        <f>OR(SUM(O72:$S72) = 1, SUM(O72:$S72) = -1) * O$29</f>
        <v>0</v>
      </c>
      <c r="P133" s="98">
        <f>OR(SUM(P72:$S72) = 1, SUM(P72:$S72) = -1) * P$29</f>
        <v>0</v>
      </c>
      <c r="Q133" s="98">
        <f>OR(SUM(Q72:$S72) = 1, SUM(Q72:$S72) = -1) * Q$29</f>
        <v>0</v>
      </c>
      <c r="R133" s="98">
        <f>OR(SUM(R72:$S72) = 1, SUM(R72:$S72) = -1) * R$29</f>
        <v>0</v>
      </c>
      <c r="S133" s="98">
        <f>OR(SUM(S72:$S72) = 1, SUM(S72:$S72) = -1) * S$29</f>
        <v>1.0780000000000001</v>
      </c>
      <c r="T133" s="79"/>
      <c r="U133" s="79"/>
    </row>
    <row r="134" spans="5:23" x14ac:dyDescent="0.25">
      <c r="F134" t="s">
        <v>944</v>
      </c>
      <c r="G134" s="72" t="s">
        <v>283</v>
      </c>
      <c r="H134" s="98">
        <f t="shared" si="37"/>
        <v>1.0780000000000001</v>
      </c>
      <c r="J134" s="98">
        <f>OR(SUM(J73:$S73) = 1, SUM(J73:$S73) = -1) * J$29</f>
        <v>0</v>
      </c>
      <c r="K134" s="98">
        <f>OR(SUM(K73:$S73) = 1, SUM(K73:$S73) = -1) * K$29</f>
        <v>0</v>
      </c>
      <c r="L134" s="98">
        <f>OR(SUM(L73:$S73) = 1, SUM(L73:$S73) = -1) * L$29</f>
        <v>0</v>
      </c>
      <c r="M134" s="98">
        <f>OR(SUM(M73:$S73) = 1, SUM(M73:$S73) = -1) * M$29</f>
        <v>0</v>
      </c>
      <c r="N134" s="98">
        <f>OR(SUM(N73:$S73) = 1, SUM(N73:$S73) = -1) * N$29</f>
        <v>0</v>
      </c>
      <c r="O134" s="98">
        <f>OR(SUM(O73:$S73) = 1, SUM(O73:$S73) = -1) * O$29</f>
        <v>0</v>
      </c>
      <c r="P134" s="98">
        <f>OR(SUM(P73:$S73) = 1, SUM(P73:$S73) = -1) * P$29</f>
        <v>0</v>
      </c>
      <c r="Q134" s="98">
        <f>OR(SUM(Q73:$S73) = 1, SUM(Q73:$S73) = -1) * Q$29</f>
        <v>0</v>
      </c>
      <c r="R134" s="98">
        <f>OR(SUM(R73:$S73) = 1, SUM(R73:$S73) = -1) * R$29</f>
        <v>0</v>
      </c>
      <c r="S134" s="98">
        <f>OR(SUM(S73:$S73) = 1, SUM(S73:$S73) = -1) * S$29</f>
        <v>1.0780000000000001</v>
      </c>
      <c r="T134" s="79"/>
      <c r="U134" s="79"/>
    </row>
    <row r="135" spans="5:23" x14ac:dyDescent="0.25">
      <c r="F135" t="s">
        <v>945</v>
      </c>
      <c r="G135" s="72" t="s">
        <v>283</v>
      </c>
      <c r="H135" s="98">
        <f t="shared" si="37"/>
        <v>1.0469999999999999</v>
      </c>
      <c r="J135" s="98">
        <f>OR(SUM(J74:$S74) = 1, SUM(J74:$S74) = -1) * J$29</f>
        <v>0</v>
      </c>
      <c r="K135" s="98">
        <f>OR(SUM(K74:$S74) = 1, SUM(K74:$S74) = -1) * K$29</f>
        <v>0</v>
      </c>
      <c r="L135" s="98">
        <f>OR(SUM(L74:$S74) = 1, SUM(L74:$S74) = -1) * L$29</f>
        <v>0</v>
      </c>
      <c r="M135" s="98">
        <f>OR(SUM(M74:$S74) = 1, SUM(M74:$S74) = -1) * M$29</f>
        <v>0</v>
      </c>
      <c r="N135" s="98">
        <f>OR(SUM(N74:$S74) = 1, SUM(N74:$S74) = -1) * N$29</f>
        <v>0</v>
      </c>
      <c r="O135" s="98">
        <f>OR(SUM(O74:$S74) = 1, SUM(O74:$S74) = -1) * O$29</f>
        <v>0</v>
      </c>
      <c r="P135" s="98">
        <f>OR(SUM(P74:$S74) = 1, SUM(P74:$S74) = -1) * P$29</f>
        <v>0</v>
      </c>
      <c r="Q135" s="98">
        <f>OR(SUM(Q74:$S74) = 1, SUM(Q74:$S74) = -1) * Q$29</f>
        <v>0</v>
      </c>
      <c r="R135" s="98">
        <f>OR(SUM(R74:$S74) = 1, SUM(R74:$S74) = -1) * R$29</f>
        <v>1.0469999999999999</v>
      </c>
      <c r="S135" s="98">
        <f>OR(SUM(S74:$S74) = 1, SUM(S74:$S74) = -1) * S$29</f>
        <v>0</v>
      </c>
      <c r="T135" s="79"/>
      <c r="U135" s="79"/>
    </row>
    <row r="136" spans="5:23" x14ac:dyDescent="0.25">
      <c r="F136" t="s">
        <v>946</v>
      </c>
      <c r="G136" s="72" t="s">
        <v>283</v>
      </c>
      <c r="H136" s="98">
        <f t="shared" si="37"/>
        <v>1.0780000000000001</v>
      </c>
      <c r="J136" s="98">
        <f>OR(SUM(J75:$S75) = 1, SUM(J75:$S75) = -1) * J$29</f>
        <v>0</v>
      </c>
      <c r="K136" s="98">
        <f>OR(SUM(K75:$S75) = 1, SUM(K75:$S75) = -1) * K$29</f>
        <v>0</v>
      </c>
      <c r="L136" s="98">
        <f>OR(SUM(L75:$S75) = 1, SUM(L75:$S75) = -1) * L$29</f>
        <v>0</v>
      </c>
      <c r="M136" s="98">
        <f>OR(SUM(M75:$S75) = 1, SUM(M75:$S75) = -1) * M$29</f>
        <v>0</v>
      </c>
      <c r="N136" s="98">
        <f>OR(SUM(N75:$S75) = 1, SUM(N75:$S75) = -1) * N$29</f>
        <v>0</v>
      </c>
      <c r="O136" s="98">
        <f>OR(SUM(O75:$S75) = 1, SUM(O75:$S75) = -1) * O$29</f>
        <v>0</v>
      </c>
      <c r="P136" s="98">
        <f>OR(SUM(P75:$S75) = 1, SUM(P75:$S75) = -1) * P$29</f>
        <v>0</v>
      </c>
      <c r="Q136" s="98">
        <f>OR(SUM(Q75:$S75) = 1, SUM(Q75:$S75) = -1) * Q$29</f>
        <v>0</v>
      </c>
      <c r="R136" s="98">
        <f>OR(SUM(R75:$S75) = 1, SUM(R75:$S75) = -1) * R$29</f>
        <v>0</v>
      </c>
      <c r="S136" s="98">
        <f>OR(SUM(S75:$S75) = 1, SUM(S75:$S75) = -1) * S$29</f>
        <v>1.0780000000000001</v>
      </c>
      <c r="T136" s="79"/>
      <c r="U136" s="79"/>
    </row>
    <row r="137" spans="5:23" x14ac:dyDescent="0.25">
      <c r="F137" t="s">
        <v>955</v>
      </c>
      <c r="G137" s="72" t="s">
        <v>283</v>
      </c>
      <c r="H137" s="98">
        <f t="shared" si="37"/>
        <v>1.0780000000000001</v>
      </c>
      <c r="J137" s="98">
        <f>OR(SUM(J76:$S76) = 1, SUM(J76:$S76) = -1) * J$29</f>
        <v>0</v>
      </c>
      <c r="K137" s="98">
        <f>OR(SUM(K76:$S76) = 1, SUM(K76:$S76) = -1) * K$29</f>
        <v>0</v>
      </c>
      <c r="L137" s="98">
        <f>OR(SUM(L76:$S76) = 1, SUM(L76:$S76) = -1) * L$29</f>
        <v>0</v>
      </c>
      <c r="M137" s="98">
        <f>OR(SUM(M76:$S76) = 1, SUM(M76:$S76) = -1) * M$29</f>
        <v>0</v>
      </c>
      <c r="N137" s="98">
        <f>OR(SUM(N76:$S76) = 1, SUM(N76:$S76) = -1) * N$29</f>
        <v>0</v>
      </c>
      <c r="O137" s="98">
        <f>OR(SUM(O76:$S76) = 1, SUM(O76:$S76) = -1) * O$29</f>
        <v>0</v>
      </c>
      <c r="P137" s="98">
        <f>OR(SUM(P76:$S76) = 1, SUM(P76:$S76) = -1) * P$29</f>
        <v>0</v>
      </c>
      <c r="Q137" s="98">
        <f>OR(SUM(Q76:$S76) = 1, SUM(Q76:$S76) = -1) * Q$29</f>
        <v>0</v>
      </c>
      <c r="R137" s="98">
        <f>OR(SUM(R76:$S76) = 1, SUM(R76:$S76) = -1) * R$29</f>
        <v>0</v>
      </c>
      <c r="S137" s="98">
        <f>OR(SUM(S76:$S76) = 1, SUM(S76:$S76) = -1) * S$29</f>
        <v>1.0780000000000001</v>
      </c>
      <c r="T137" s="79"/>
      <c r="U137" s="79"/>
    </row>
    <row r="138" spans="5:23" x14ac:dyDescent="0.25">
      <c r="F138" t="s">
        <v>947</v>
      </c>
      <c r="G138" s="72" t="s">
        <v>283</v>
      </c>
      <c r="H138" s="98">
        <f t="shared" si="37"/>
        <v>1.0469999999999999</v>
      </c>
      <c r="J138" s="98">
        <f>OR(SUM(J77:$S77) = 1, SUM(J77:$S77) = -1) * J$29</f>
        <v>0</v>
      </c>
      <c r="K138" s="98">
        <f>OR(SUM(K77:$S77) = 1, SUM(K77:$S77) = -1) * K$29</f>
        <v>0</v>
      </c>
      <c r="L138" s="98">
        <f>OR(SUM(L77:$S77) = 1, SUM(L77:$S77) = -1) * L$29</f>
        <v>0</v>
      </c>
      <c r="M138" s="98">
        <f>OR(SUM(M77:$S77) = 1, SUM(M77:$S77) = -1) * M$29</f>
        <v>0</v>
      </c>
      <c r="N138" s="98">
        <f>OR(SUM(N77:$S77) = 1, SUM(N77:$S77) = -1) * N$29</f>
        <v>0</v>
      </c>
      <c r="O138" s="98">
        <f>OR(SUM(O77:$S77) = 1, SUM(O77:$S77) = -1) * O$29</f>
        <v>0</v>
      </c>
      <c r="P138" s="98">
        <f>OR(SUM(P77:$S77) = 1, SUM(P77:$S77) = -1) * P$29</f>
        <v>0</v>
      </c>
      <c r="Q138" s="98">
        <f>OR(SUM(Q77:$S77) = 1, SUM(Q77:$S77) = -1) * Q$29</f>
        <v>0</v>
      </c>
      <c r="R138" s="98">
        <f>OR(SUM(R77:$S77) = 1, SUM(R77:$S77) = -1) * R$29</f>
        <v>1.0469999999999999</v>
      </c>
      <c r="S138" s="98">
        <f>OR(SUM(S77:$S77) = 1, SUM(S77:$S77) = -1) * S$29</f>
        <v>0</v>
      </c>
      <c r="T138" s="79"/>
      <c r="U138" s="79"/>
    </row>
    <row r="139" spans="5:23" x14ac:dyDescent="0.25">
      <c r="F139" t="s">
        <v>954</v>
      </c>
      <c r="G139" s="72" t="s">
        <v>283</v>
      </c>
      <c r="H139" s="98">
        <f t="shared" si="37"/>
        <v>1.0469999999999999</v>
      </c>
      <c r="J139" s="98">
        <f>OR(SUM(J78:$S78) = 1, SUM(J78:$S78) = -1) * J$29</f>
        <v>0</v>
      </c>
      <c r="K139" s="98">
        <f>OR(SUM(K78:$S78) = 1, SUM(K78:$S78) = -1) * K$29</f>
        <v>0</v>
      </c>
      <c r="L139" s="98">
        <f>OR(SUM(L78:$S78) = 1, SUM(L78:$S78) = -1) * L$29</f>
        <v>0</v>
      </c>
      <c r="M139" s="98">
        <f>OR(SUM(M78:$S78) = 1, SUM(M78:$S78) = -1) * M$29</f>
        <v>0</v>
      </c>
      <c r="N139" s="98">
        <f>OR(SUM(N78:$S78) = 1, SUM(N78:$S78) = -1) * N$29</f>
        <v>0</v>
      </c>
      <c r="O139" s="98">
        <f>OR(SUM(O78:$S78) = 1, SUM(O78:$S78) = -1) * O$29</f>
        <v>0</v>
      </c>
      <c r="P139" s="98">
        <f>OR(SUM(P78:$S78) = 1, SUM(P78:$S78) = -1) * P$29</f>
        <v>0</v>
      </c>
      <c r="Q139" s="98">
        <f>OR(SUM(Q78:$S78) = 1, SUM(Q78:$S78) = -1) * Q$29</f>
        <v>0</v>
      </c>
      <c r="R139" s="98">
        <f>OR(SUM(R78:$S78) = 1, SUM(R78:$S78) = -1) * R$29</f>
        <v>1.0469999999999999</v>
      </c>
      <c r="S139" s="98">
        <f>OR(SUM(S78:$S78) = 1, SUM(S78:$S78) = -1) * S$29</f>
        <v>0</v>
      </c>
      <c r="T139" s="79"/>
      <c r="U139" s="79"/>
    </row>
    <row r="140" spans="5:23" x14ac:dyDescent="0.25">
      <c r="F140" t="s">
        <v>948</v>
      </c>
      <c r="G140" s="72" t="s">
        <v>283</v>
      </c>
      <c r="H140" s="98">
        <f t="shared" si="37"/>
        <v>1.036</v>
      </c>
      <c r="J140" s="98">
        <f>OR(SUM(J79:$S79) = 1, SUM(J79:$S79) = -1) * J$29</f>
        <v>0</v>
      </c>
      <c r="K140" s="98">
        <f>OR(SUM(K79:$S79) = 1, SUM(K79:$S79) = -1) * K$29</f>
        <v>0</v>
      </c>
      <c r="L140" s="98">
        <f>OR(SUM(L79:$S79) = 1, SUM(L79:$S79) = -1) * L$29</f>
        <v>0</v>
      </c>
      <c r="M140" s="98">
        <f>OR(SUM(M79:$S79) = 1, SUM(M79:$S79) = -1) * M$29</f>
        <v>0</v>
      </c>
      <c r="N140" s="98">
        <f>OR(SUM(N79:$S79) = 1, SUM(N79:$S79) = -1) * N$29</f>
        <v>0</v>
      </c>
      <c r="O140" s="98">
        <f>OR(SUM(O79:$S79) = 1, SUM(O79:$S79) = -1) * O$29</f>
        <v>0</v>
      </c>
      <c r="P140" s="98">
        <f>OR(SUM(P79:$S79) = 1, SUM(P79:$S79) = -1) * P$29</f>
        <v>0</v>
      </c>
      <c r="Q140" s="98">
        <f>OR(SUM(Q79:$S79) = 1, SUM(Q79:$S79) = -1) * Q$29</f>
        <v>1.036</v>
      </c>
      <c r="R140" s="98">
        <f>OR(SUM(R79:$S79) = 1, SUM(R79:$S79) = -1) * R$29</f>
        <v>0</v>
      </c>
      <c r="S140" s="98">
        <f>OR(SUM(S79:$S79) = 1, SUM(S79:$S79) = -1) * S$29</f>
        <v>0</v>
      </c>
      <c r="T140" s="79"/>
      <c r="U140" s="79"/>
    </row>
    <row r="141" spans="5:23" x14ac:dyDescent="0.25">
      <c r="F141" s="37" t="s">
        <v>953</v>
      </c>
      <c r="G141" s="80" t="s">
        <v>283</v>
      </c>
      <c r="H141" s="100">
        <f t="shared" si="37"/>
        <v>1.036</v>
      </c>
      <c r="I141" s="37"/>
      <c r="J141" s="100">
        <f>OR(SUM(J80:$S80) = 1, SUM(J80:$S80) = -1) * J$29</f>
        <v>0</v>
      </c>
      <c r="K141" s="100">
        <f>OR(SUM(K80:$S80) = 1, SUM(K80:$S80) = -1) * K$29</f>
        <v>0</v>
      </c>
      <c r="L141" s="100">
        <f>OR(SUM(L80:$S80) = 1, SUM(L80:$S80) = -1) * L$29</f>
        <v>0</v>
      </c>
      <c r="M141" s="100">
        <f>OR(SUM(M80:$S80) = 1, SUM(M80:$S80) = -1) * M$29</f>
        <v>0</v>
      </c>
      <c r="N141" s="100">
        <f>OR(SUM(N80:$S80) = 1, SUM(N80:$S80) = -1) * N$29</f>
        <v>0</v>
      </c>
      <c r="O141" s="100">
        <f>OR(SUM(O80:$S80) = 1, SUM(O80:$S80) = -1) * O$29</f>
        <v>0</v>
      </c>
      <c r="P141" s="100">
        <f>OR(SUM(P80:$S80) = 1, SUM(P80:$S80) = -1) * P$29</f>
        <v>0</v>
      </c>
      <c r="Q141" s="100">
        <f>OR(SUM(Q80:$S80) = 1, SUM(Q80:$S80) = -1) * Q$29</f>
        <v>1.036</v>
      </c>
      <c r="R141" s="100">
        <f>OR(SUM(R80:$S80) = 1, SUM(R80:$S80) = -1) * R$29</f>
        <v>0</v>
      </c>
      <c r="S141" s="100">
        <f>OR(SUM(S80:$S80) = 1, SUM(S80:$S80) = -1) * S$29</f>
        <v>0</v>
      </c>
      <c r="T141" s="81"/>
      <c r="U141" s="81"/>
    </row>
    <row r="142" spans="5:23" x14ac:dyDescent="0.25">
      <c r="G142" s="13"/>
    </row>
    <row r="143" spans="5:23" x14ac:dyDescent="0.25">
      <c r="E143" s="32" t="s">
        <v>408</v>
      </c>
      <c r="G143" s="13"/>
      <c r="I143" t="s">
        <v>154</v>
      </c>
      <c r="W143" s="3" t="s">
        <v>409</v>
      </c>
    </row>
    <row r="144" spans="5:23" x14ac:dyDescent="0.25">
      <c r="E144" s="29" t="s">
        <v>401</v>
      </c>
      <c r="G144" s="13"/>
    </row>
    <row r="145" spans="6:23" x14ac:dyDescent="0.25">
      <c r="F145" s="23" t="s">
        <v>940</v>
      </c>
      <c r="G145" s="78" t="s">
        <v>283</v>
      </c>
      <c r="H145" s="129"/>
      <c r="I145" s="23"/>
      <c r="J145" s="101">
        <f t="shared" ref="J145:S145" si="38">$H126 * J104</f>
        <v>1.0780000000000001</v>
      </c>
      <c r="K145" s="101">
        <f t="shared" si="38"/>
        <v>1.0780000000000001</v>
      </c>
      <c r="L145" s="101">
        <f t="shared" si="38"/>
        <v>1.0780000000000001</v>
      </c>
      <c r="M145" s="101">
        <f t="shared" si="38"/>
        <v>0.99710219855719762</v>
      </c>
      <c r="N145" s="101">
        <f t="shared" si="38"/>
        <v>0.99710219855719762</v>
      </c>
      <c r="O145" s="101">
        <f t="shared" si="38"/>
        <v>0.99710219855719762</v>
      </c>
      <c r="P145" s="101">
        <f t="shared" si="38"/>
        <v>8.0897801442802481E-2</v>
      </c>
      <c r="Q145" s="101">
        <f t="shared" si="38"/>
        <v>1.0780000000000001</v>
      </c>
      <c r="R145" s="101">
        <f t="shared" si="38"/>
        <v>1.0780000000000001</v>
      </c>
      <c r="S145" s="101">
        <f t="shared" si="38"/>
        <v>1.0780000000000001</v>
      </c>
      <c r="T145" s="83"/>
      <c r="U145" s="83"/>
    </row>
    <row r="146" spans="6:23" x14ac:dyDescent="0.25">
      <c r="F146" t="s">
        <v>942</v>
      </c>
      <c r="G146" s="72" t="s">
        <v>283</v>
      </c>
      <c r="H146" s="63"/>
      <c r="J146" s="121">
        <f t="shared" ref="J146:S146" si="39">$H127 * J105</f>
        <v>1.0780000000000001</v>
      </c>
      <c r="K146" s="121">
        <f t="shared" si="39"/>
        <v>1.0780000000000001</v>
      </c>
      <c r="L146" s="121">
        <f t="shared" si="39"/>
        <v>1.0780000000000001</v>
      </c>
      <c r="M146" s="121">
        <f t="shared" si="39"/>
        <v>0.99710219855719762</v>
      </c>
      <c r="N146" s="121">
        <f t="shared" si="39"/>
        <v>0.99710219855719762</v>
      </c>
      <c r="O146" s="121">
        <f t="shared" si="39"/>
        <v>0.99710219855719762</v>
      </c>
      <c r="P146" s="121">
        <f t="shared" si="39"/>
        <v>8.0897801442802481E-2</v>
      </c>
      <c r="Q146" s="121">
        <f t="shared" si="39"/>
        <v>1.0780000000000001</v>
      </c>
      <c r="R146" s="121">
        <f t="shared" si="39"/>
        <v>1.0780000000000001</v>
      </c>
      <c r="S146" s="121">
        <f t="shared" si="39"/>
        <v>1.0780000000000001</v>
      </c>
      <c r="T146" s="79"/>
      <c r="U146" s="79"/>
      <c r="W146" s="3"/>
    </row>
    <row r="147" spans="6:23" x14ac:dyDescent="0.25">
      <c r="F147" t="s">
        <v>941</v>
      </c>
      <c r="G147" s="72" t="s">
        <v>283</v>
      </c>
      <c r="H147" s="63"/>
      <c r="J147" s="121">
        <f t="shared" ref="J147:S147" si="40">$H128 * J106</f>
        <v>1.0780000000000001</v>
      </c>
      <c r="K147" s="121">
        <f t="shared" si="40"/>
        <v>1.0780000000000001</v>
      </c>
      <c r="L147" s="121">
        <f t="shared" si="40"/>
        <v>1.0780000000000001</v>
      </c>
      <c r="M147" s="121">
        <f t="shared" si="40"/>
        <v>0.99710219855719762</v>
      </c>
      <c r="N147" s="121">
        <f t="shared" si="40"/>
        <v>0.99710219855719762</v>
      </c>
      <c r="O147" s="121">
        <f t="shared" si="40"/>
        <v>0.99710219855719762</v>
      </c>
      <c r="P147" s="121">
        <f t="shared" si="40"/>
        <v>8.0897801442802481E-2</v>
      </c>
      <c r="Q147" s="121">
        <f t="shared" si="40"/>
        <v>1.0780000000000001</v>
      </c>
      <c r="R147" s="121">
        <f t="shared" si="40"/>
        <v>1.0780000000000001</v>
      </c>
      <c r="S147" s="121">
        <f t="shared" si="40"/>
        <v>1.0780000000000001</v>
      </c>
      <c r="T147" s="79"/>
      <c r="U147" s="79"/>
      <c r="W147" s="3"/>
    </row>
    <row r="148" spans="6:23" x14ac:dyDescent="0.25">
      <c r="F148" t="s">
        <v>943</v>
      </c>
      <c r="G148" s="72" t="s">
        <v>283</v>
      </c>
      <c r="H148" s="63"/>
      <c r="J148" s="121">
        <f t="shared" ref="J148:S148" si="41">$H129 * J107</f>
        <v>1.0780000000000001</v>
      </c>
      <c r="K148" s="121">
        <f t="shared" si="41"/>
        <v>1.0780000000000001</v>
      </c>
      <c r="L148" s="121">
        <f t="shared" si="41"/>
        <v>1.0780000000000001</v>
      </c>
      <c r="M148" s="121">
        <f t="shared" si="41"/>
        <v>0.99710219855719762</v>
      </c>
      <c r="N148" s="121">
        <f t="shared" si="41"/>
        <v>0.99710219855719762</v>
      </c>
      <c r="O148" s="121">
        <f t="shared" si="41"/>
        <v>0.99710219855719762</v>
      </c>
      <c r="P148" s="121">
        <f t="shared" si="41"/>
        <v>8.0897801442802481E-2</v>
      </c>
      <c r="Q148" s="121">
        <f t="shared" si="41"/>
        <v>1.0780000000000001</v>
      </c>
      <c r="R148" s="121">
        <f t="shared" si="41"/>
        <v>1.0780000000000001</v>
      </c>
      <c r="S148" s="121">
        <f t="shared" si="41"/>
        <v>1.0780000000000001</v>
      </c>
      <c r="T148" s="79"/>
      <c r="U148" s="79"/>
    </row>
    <row r="149" spans="6:23" x14ac:dyDescent="0.25">
      <c r="F149" t="s">
        <v>949</v>
      </c>
      <c r="G149" s="72" t="s">
        <v>283</v>
      </c>
      <c r="H149" s="63"/>
      <c r="J149" s="121">
        <f t="shared" ref="J149:S149" si="42">$H130 * J108</f>
        <v>1.0780000000000001</v>
      </c>
      <c r="K149" s="121">
        <f t="shared" si="42"/>
        <v>1.0780000000000001</v>
      </c>
      <c r="L149" s="121">
        <f t="shared" si="42"/>
        <v>1.0780000000000001</v>
      </c>
      <c r="M149" s="121">
        <f t="shared" si="42"/>
        <v>0.99710219855719762</v>
      </c>
      <c r="N149" s="121">
        <f t="shared" si="42"/>
        <v>0.99710219855719762</v>
      </c>
      <c r="O149" s="121">
        <f t="shared" si="42"/>
        <v>0.99710219855719762</v>
      </c>
      <c r="P149" s="121">
        <f t="shared" si="42"/>
        <v>8.0897801442802481E-2</v>
      </c>
      <c r="Q149" s="121">
        <f t="shared" si="42"/>
        <v>1.0780000000000001</v>
      </c>
      <c r="R149" s="121">
        <f t="shared" si="42"/>
        <v>1.0780000000000001</v>
      </c>
      <c r="S149" s="121">
        <f t="shared" si="42"/>
        <v>1.0780000000000001</v>
      </c>
      <c r="T149" s="79"/>
      <c r="U149" s="79"/>
    </row>
    <row r="150" spans="6:23" x14ac:dyDescent="0.25">
      <c r="F150" t="s">
        <v>950</v>
      </c>
      <c r="G150" s="72" t="s">
        <v>283</v>
      </c>
      <c r="H150" s="63"/>
      <c r="J150" s="121">
        <f t="shared" ref="J150:S150" si="43">$H131 * J109</f>
        <v>1.0469999999999999</v>
      </c>
      <c r="K150" s="121">
        <f t="shared" si="43"/>
        <v>1.0469999999999999</v>
      </c>
      <c r="L150" s="121">
        <f t="shared" si="43"/>
        <v>1.0469999999999999</v>
      </c>
      <c r="M150" s="121">
        <f t="shared" si="43"/>
        <v>0.96842857318124842</v>
      </c>
      <c r="N150" s="121">
        <f t="shared" si="43"/>
        <v>0.96842857318124842</v>
      </c>
      <c r="O150" s="121">
        <f t="shared" si="43"/>
        <v>0.96842857318124842</v>
      </c>
      <c r="P150" s="121">
        <f t="shared" si="43"/>
        <v>7.8571426818751552E-2</v>
      </c>
      <c r="Q150" s="121">
        <f t="shared" si="43"/>
        <v>1.0469999999999999</v>
      </c>
      <c r="R150" s="121">
        <f t="shared" si="43"/>
        <v>1.0469999999999999</v>
      </c>
      <c r="S150" s="121">
        <f t="shared" si="43"/>
        <v>0</v>
      </c>
      <c r="T150" s="79"/>
      <c r="U150" s="79"/>
    </row>
    <row r="151" spans="6:23" x14ac:dyDescent="0.25">
      <c r="F151" t="s">
        <v>951</v>
      </c>
      <c r="G151" s="72" t="s">
        <v>283</v>
      </c>
      <c r="H151" s="63"/>
      <c r="J151" s="121">
        <f t="shared" ref="J151:S151" si="44">$H132 * J110</f>
        <v>1.036</v>
      </c>
      <c r="K151" s="121">
        <f t="shared" si="44"/>
        <v>1.036</v>
      </c>
      <c r="L151" s="121">
        <f t="shared" si="44"/>
        <v>1.036</v>
      </c>
      <c r="M151" s="121">
        <f t="shared" si="44"/>
        <v>0.95825406095107302</v>
      </c>
      <c r="N151" s="121">
        <f t="shared" si="44"/>
        <v>0.95825406095107302</v>
      </c>
      <c r="O151" s="121">
        <f t="shared" si="44"/>
        <v>0.95825406095107302</v>
      </c>
      <c r="P151" s="121">
        <f t="shared" si="44"/>
        <v>7.7745939048927057E-2</v>
      </c>
      <c r="Q151" s="121">
        <f t="shared" si="44"/>
        <v>1.036</v>
      </c>
      <c r="R151" s="121">
        <f t="shared" si="44"/>
        <v>0</v>
      </c>
      <c r="S151" s="121">
        <f t="shared" si="44"/>
        <v>0</v>
      </c>
      <c r="T151" s="79"/>
      <c r="U151" s="79"/>
    </row>
    <row r="152" spans="6:23" x14ac:dyDescent="0.25">
      <c r="F152" t="s">
        <v>952</v>
      </c>
      <c r="G152" s="72" t="s">
        <v>283</v>
      </c>
      <c r="H152" s="63"/>
      <c r="J152" s="121">
        <f t="shared" ref="J152:S152" si="45">$H133 * J111</f>
        <v>1.0780000000000001</v>
      </c>
      <c r="K152" s="121">
        <f t="shared" si="45"/>
        <v>1.0780000000000001</v>
      </c>
      <c r="L152" s="121">
        <f t="shared" si="45"/>
        <v>1.0780000000000001</v>
      </c>
      <c r="M152" s="121">
        <f t="shared" si="45"/>
        <v>0.99710219855719762</v>
      </c>
      <c r="N152" s="121">
        <f t="shared" si="45"/>
        <v>0.99710219855719762</v>
      </c>
      <c r="O152" s="121">
        <f t="shared" si="45"/>
        <v>0.99710219855719762</v>
      </c>
      <c r="P152" s="121">
        <f t="shared" si="45"/>
        <v>8.0897801442802481E-2</v>
      </c>
      <c r="Q152" s="121">
        <f t="shared" si="45"/>
        <v>1.0780000000000001</v>
      </c>
      <c r="R152" s="121">
        <f t="shared" si="45"/>
        <v>1.0780000000000001</v>
      </c>
      <c r="S152" s="121">
        <f t="shared" si="45"/>
        <v>1.0780000000000001</v>
      </c>
      <c r="T152" s="79"/>
      <c r="U152" s="79"/>
    </row>
    <row r="153" spans="6:23" x14ac:dyDescent="0.25">
      <c r="F153" t="s">
        <v>944</v>
      </c>
      <c r="G153" s="72" t="s">
        <v>283</v>
      </c>
      <c r="H153" s="63"/>
      <c r="J153" s="121">
        <f t="shared" ref="J153:S153" si="46">$H134 * J112</f>
        <v>-1.0780000000000001</v>
      </c>
      <c r="K153" s="121">
        <f t="shared" si="46"/>
        <v>-1.0780000000000001</v>
      </c>
      <c r="L153" s="121">
        <f t="shared" si="46"/>
        <v>-1.0780000000000001</v>
      </c>
      <c r="M153" s="121">
        <f t="shared" si="46"/>
        <v>-0.99710219855719762</v>
      </c>
      <c r="N153" s="121">
        <f t="shared" si="46"/>
        <v>-0.99710219855719762</v>
      </c>
      <c r="O153" s="121">
        <f t="shared" si="46"/>
        <v>-0.99710219855719762</v>
      </c>
      <c r="P153" s="121">
        <f t="shared" si="46"/>
        <v>-8.0897801442802481E-2</v>
      </c>
      <c r="Q153" s="121">
        <f t="shared" si="46"/>
        <v>-1.0780000000000001</v>
      </c>
      <c r="R153" s="121">
        <f t="shared" si="46"/>
        <v>-1.0780000000000001</v>
      </c>
      <c r="S153" s="121">
        <f t="shared" si="46"/>
        <v>0</v>
      </c>
      <c r="T153" s="79"/>
      <c r="U153" s="79"/>
    </row>
    <row r="154" spans="6:23" x14ac:dyDescent="0.25">
      <c r="F154" t="s">
        <v>945</v>
      </c>
      <c r="G154" s="72" t="s">
        <v>283</v>
      </c>
      <c r="H154" s="63"/>
      <c r="J154" s="121">
        <f t="shared" ref="J154:S154" si="47">$H135 * J113</f>
        <v>-1.0469999999999999</v>
      </c>
      <c r="K154" s="121">
        <f t="shared" si="47"/>
        <v>-1.0469999999999999</v>
      </c>
      <c r="L154" s="121">
        <f t="shared" si="47"/>
        <v>-1.0469999999999999</v>
      </c>
      <c r="M154" s="121">
        <f t="shared" si="47"/>
        <v>-0.96842857318124842</v>
      </c>
      <c r="N154" s="121">
        <f t="shared" si="47"/>
        <v>-0.96842857318124842</v>
      </c>
      <c r="O154" s="121">
        <f t="shared" si="47"/>
        <v>-0.96842857318124842</v>
      </c>
      <c r="P154" s="121">
        <f t="shared" si="47"/>
        <v>-7.8571426818751552E-2</v>
      </c>
      <c r="Q154" s="121">
        <f t="shared" si="47"/>
        <v>-1.0469999999999999</v>
      </c>
      <c r="R154" s="121">
        <f t="shared" si="47"/>
        <v>0</v>
      </c>
      <c r="S154" s="121">
        <f t="shared" si="47"/>
        <v>0</v>
      </c>
      <c r="T154" s="79"/>
      <c r="U154" s="79"/>
    </row>
    <row r="155" spans="6:23" x14ac:dyDescent="0.25">
      <c r="F155" t="s">
        <v>946</v>
      </c>
      <c r="G155" s="72" t="s">
        <v>283</v>
      </c>
      <c r="H155" s="63"/>
      <c r="J155" s="121">
        <f t="shared" ref="J155:S155" si="48">$H136 * J114</f>
        <v>-1.0780000000000001</v>
      </c>
      <c r="K155" s="121">
        <f t="shared" si="48"/>
        <v>-1.0780000000000001</v>
      </c>
      <c r="L155" s="121">
        <f t="shared" si="48"/>
        <v>-1.0780000000000001</v>
      </c>
      <c r="M155" s="121">
        <f t="shared" si="48"/>
        <v>-0.99710219855719762</v>
      </c>
      <c r="N155" s="121">
        <f t="shared" si="48"/>
        <v>-0.99710219855719762</v>
      </c>
      <c r="O155" s="121">
        <f t="shared" si="48"/>
        <v>-0.99710219855719762</v>
      </c>
      <c r="P155" s="121">
        <f t="shared" si="48"/>
        <v>-8.0897801442802481E-2</v>
      </c>
      <c r="Q155" s="121">
        <f t="shared" si="48"/>
        <v>-1.0780000000000001</v>
      </c>
      <c r="R155" s="121">
        <f t="shared" si="48"/>
        <v>-1.0780000000000001</v>
      </c>
      <c r="S155" s="121">
        <f t="shared" si="48"/>
        <v>0</v>
      </c>
      <c r="T155" s="79"/>
      <c r="U155" s="79"/>
    </row>
    <row r="156" spans="6:23" x14ac:dyDescent="0.25">
      <c r="F156" t="s">
        <v>955</v>
      </c>
      <c r="G156" s="72" t="s">
        <v>283</v>
      </c>
      <c r="H156" s="63"/>
      <c r="J156" s="121">
        <f t="shared" ref="J156:S156" si="49">$H137 * J115</f>
        <v>-1.0780000000000001</v>
      </c>
      <c r="K156" s="121">
        <f t="shared" si="49"/>
        <v>-1.0780000000000001</v>
      </c>
      <c r="L156" s="121">
        <f t="shared" si="49"/>
        <v>-1.0780000000000001</v>
      </c>
      <c r="M156" s="121">
        <f t="shared" si="49"/>
        <v>-0.99710219855719762</v>
      </c>
      <c r="N156" s="121">
        <f t="shared" si="49"/>
        <v>-0.99710219855719762</v>
      </c>
      <c r="O156" s="121">
        <f t="shared" si="49"/>
        <v>-0.99710219855719762</v>
      </c>
      <c r="P156" s="121">
        <f t="shared" si="49"/>
        <v>-8.0897801442802481E-2</v>
      </c>
      <c r="Q156" s="121">
        <f t="shared" si="49"/>
        <v>-1.0780000000000001</v>
      </c>
      <c r="R156" s="121">
        <f t="shared" si="49"/>
        <v>-1.0780000000000001</v>
      </c>
      <c r="S156" s="121">
        <f t="shared" si="49"/>
        <v>0</v>
      </c>
      <c r="T156" s="79"/>
      <c r="U156" s="79"/>
    </row>
    <row r="157" spans="6:23" x14ac:dyDescent="0.25">
      <c r="F157" t="s">
        <v>947</v>
      </c>
      <c r="G157" s="72" t="s">
        <v>283</v>
      </c>
      <c r="H157" s="63"/>
      <c r="J157" s="121">
        <f t="shared" ref="J157:S157" si="50">$H138 * J116</f>
        <v>-1.0469999999999999</v>
      </c>
      <c r="K157" s="121">
        <f t="shared" si="50"/>
        <v>-1.0469999999999999</v>
      </c>
      <c r="L157" s="121">
        <f t="shared" si="50"/>
        <v>-1.0469999999999999</v>
      </c>
      <c r="M157" s="121">
        <f t="shared" si="50"/>
        <v>-0.96842857318124842</v>
      </c>
      <c r="N157" s="121">
        <f t="shared" si="50"/>
        <v>-0.96842857318124842</v>
      </c>
      <c r="O157" s="121">
        <f t="shared" si="50"/>
        <v>-0.96842857318124842</v>
      </c>
      <c r="P157" s="121">
        <f t="shared" si="50"/>
        <v>-7.8571426818751552E-2</v>
      </c>
      <c r="Q157" s="121">
        <f t="shared" si="50"/>
        <v>-1.0469999999999999</v>
      </c>
      <c r="R157" s="121">
        <f t="shared" si="50"/>
        <v>0</v>
      </c>
      <c r="S157" s="121">
        <f t="shared" si="50"/>
        <v>0</v>
      </c>
      <c r="T157" s="79"/>
      <c r="U157" s="79"/>
    </row>
    <row r="158" spans="6:23" x14ac:dyDescent="0.25">
      <c r="F158" t="s">
        <v>954</v>
      </c>
      <c r="G158" s="72" t="s">
        <v>283</v>
      </c>
      <c r="H158" s="63"/>
      <c r="J158" s="121">
        <f t="shared" ref="J158:S158" si="51">$H139 * J117</f>
        <v>-1.0469999999999999</v>
      </c>
      <c r="K158" s="121">
        <f t="shared" si="51"/>
        <v>-1.0469999999999999</v>
      </c>
      <c r="L158" s="121">
        <f t="shared" si="51"/>
        <v>-1.0469999999999999</v>
      </c>
      <c r="M158" s="121">
        <f t="shared" si="51"/>
        <v>-0.96842857318124842</v>
      </c>
      <c r="N158" s="121">
        <f t="shared" si="51"/>
        <v>-0.96842857318124842</v>
      </c>
      <c r="O158" s="121">
        <f t="shared" si="51"/>
        <v>-0.96842857318124842</v>
      </c>
      <c r="P158" s="121">
        <f t="shared" si="51"/>
        <v>-7.8571426818751552E-2</v>
      </c>
      <c r="Q158" s="121">
        <f t="shared" si="51"/>
        <v>-1.0469999999999999</v>
      </c>
      <c r="R158" s="121">
        <f t="shared" si="51"/>
        <v>0</v>
      </c>
      <c r="S158" s="121">
        <f t="shared" si="51"/>
        <v>0</v>
      </c>
      <c r="T158" s="79"/>
      <c r="U158" s="79"/>
    </row>
    <row r="159" spans="6:23" x14ac:dyDescent="0.25">
      <c r="F159" t="s">
        <v>948</v>
      </c>
      <c r="G159" s="72" t="s">
        <v>283</v>
      </c>
      <c r="H159" s="63"/>
      <c r="J159" s="121">
        <f t="shared" ref="J159:S159" si="52">$H140 * J118</f>
        <v>-1.036</v>
      </c>
      <c r="K159" s="121">
        <f t="shared" si="52"/>
        <v>-1.036</v>
      </c>
      <c r="L159" s="121">
        <f t="shared" si="52"/>
        <v>-1.036</v>
      </c>
      <c r="M159" s="121">
        <f t="shared" si="52"/>
        <v>-0.95825406095107302</v>
      </c>
      <c r="N159" s="121">
        <f t="shared" si="52"/>
        <v>-0.95825406095107302</v>
      </c>
      <c r="O159" s="121">
        <f t="shared" si="52"/>
        <v>-0.95825406095107302</v>
      </c>
      <c r="P159" s="121">
        <f t="shared" si="52"/>
        <v>-7.7745939048927057E-2</v>
      </c>
      <c r="Q159" s="121">
        <f t="shared" si="52"/>
        <v>0</v>
      </c>
      <c r="R159" s="121">
        <f t="shared" si="52"/>
        <v>0</v>
      </c>
      <c r="S159" s="121">
        <f t="shared" si="52"/>
        <v>0</v>
      </c>
      <c r="T159" s="79"/>
      <c r="U159" s="79"/>
    </row>
    <row r="160" spans="6:23" x14ac:dyDescent="0.25">
      <c r="F160" s="37" t="s">
        <v>953</v>
      </c>
      <c r="G160" s="80" t="s">
        <v>283</v>
      </c>
      <c r="H160" s="130"/>
      <c r="I160" s="37"/>
      <c r="J160" s="131">
        <f t="shared" ref="J160:S160" si="53">$H141 * J119</f>
        <v>-1.036</v>
      </c>
      <c r="K160" s="131">
        <f t="shared" si="53"/>
        <v>-1.036</v>
      </c>
      <c r="L160" s="131">
        <f t="shared" si="53"/>
        <v>-1.036</v>
      </c>
      <c r="M160" s="131">
        <f t="shared" si="53"/>
        <v>-0.95825406095107302</v>
      </c>
      <c r="N160" s="131">
        <f t="shared" si="53"/>
        <v>-0.95825406095107302</v>
      </c>
      <c r="O160" s="131">
        <f t="shared" si="53"/>
        <v>-0.95825406095107302</v>
      </c>
      <c r="P160" s="131">
        <f t="shared" si="53"/>
        <v>-7.7745939048927057E-2</v>
      </c>
      <c r="Q160" s="131">
        <f t="shared" si="53"/>
        <v>0</v>
      </c>
      <c r="R160" s="131">
        <f t="shared" si="53"/>
        <v>0</v>
      </c>
      <c r="S160" s="131">
        <f t="shared" si="53"/>
        <v>0</v>
      </c>
      <c r="T160" s="81"/>
      <c r="U160" s="81"/>
    </row>
    <row r="161" spans="5:23" x14ac:dyDescent="0.25">
      <c r="G161" s="13"/>
      <c r="J161" s="89"/>
      <c r="K161" s="89"/>
      <c r="L161" s="89"/>
      <c r="M161" s="89"/>
      <c r="N161" s="89"/>
      <c r="O161" s="89"/>
      <c r="P161" s="89"/>
      <c r="Q161" s="89"/>
      <c r="R161" s="89"/>
      <c r="S161" s="89"/>
      <c r="T161" s="89"/>
      <c r="U161" s="89"/>
    </row>
    <row r="162" spans="5:23" x14ac:dyDescent="0.25">
      <c r="E162" s="32" t="s">
        <v>404</v>
      </c>
      <c r="G162" s="13"/>
      <c r="I162" t="s">
        <v>154</v>
      </c>
      <c r="J162" s="89"/>
      <c r="K162" s="89"/>
      <c r="L162" s="89"/>
      <c r="M162" s="89"/>
      <c r="N162" s="89"/>
      <c r="O162" s="89"/>
      <c r="P162" s="89"/>
      <c r="Q162" s="89"/>
      <c r="R162" s="89"/>
      <c r="S162" s="89"/>
      <c r="T162" s="89"/>
      <c r="U162" s="89"/>
      <c r="W162" s="3" t="s">
        <v>409</v>
      </c>
    </row>
    <row r="163" spans="5:23" x14ac:dyDescent="0.25">
      <c r="E163" s="29" t="s">
        <v>401</v>
      </c>
      <c r="G163" s="13"/>
      <c r="J163" s="89"/>
      <c r="K163" s="89"/>
      <c r="L163" s="89"/>
      <c r="M163" s="89"/>
      <c r="N163" s="89"/>
      <c r="O163" s="89"/>
      <c r="P163" s="89"/>
      <c r="Q163" s="89"/>
      <c r="R163" s="89"/>
      <c r="S163" s="89"/>
      <c r="T163" s="89"/>
      <c r="U163" s="89"/>
    </row>
    <row r="164" spans="5:23" x14ac:dyDescent="0.25">
      <c r="F164" s="23" t="s">
        <v>940</v>
      </c>
      <c r="G164" s="78" t="s">
        <v>283</v>
      </c>
      <c r="H164" s="129"/>
      <c r="I164" s="23"/>
      <c r="J164" s="83"/>
      <c r="K164" s="83"/>
      <c r="L164" s="83"/>
      <c r="M164" s="83"/>
      <c r="N164" s="83"/>
      <c r="O164" s="83"/>
      <c r="P164" s="83"/>
      <c r="Q164" s="83"/>
      <c r="R164" s="83"/>
      <c r="S164" s="83"/>
      <c r="T164" s="83"/>
      <c r="U164" s="83"/>
    </row>
    <row r="165" spans="5:23" x14ac:dyDescent="0.25">
      <c r="F165" t="s">
        <v>942</v>
      </c>
      <c r="G165" s="72" t="s">
        <v>283</v>
      </c>
      <c r="H165" s="63"/>
      <c r="J165" s="79"/>
      <c r="K165" s="79"/>
      <c r="L165" s="79"/>
      <c r="M165" s="79"/>
      <c r="N165" s="79"/>
      <c r="O165" s="79"/>
      <c r="P165" s="79"/>
      <c r="Q165" s="79"/>
      <c r="R165" s="79"/>
      <c r="S165" s="79"/>
      <c r="T165" s="79"/>
      <c r="U165" s="79"/>
      <c r="W165" s="3"/>
    </row>
    <row r="166" spans="5:23" x14ac:dyDescent="0.25">
      <c r="F166" t="s">
        <v>941</v>
      </c>
      <c r="G166" s="72" t="s">
        <v>283</v>
      </c>
      <c r="H166" s="63"/>
      <c r="J166" s="79"/>
      <c r="K166" s="79"/>
      <c r="L166" s="79"/>
      <c r="M166" s="79"/>
      <c r="N166" s="79"/>
      <c r="O166" s="79"/>
      <c r="P166" s="79"/>
      <c r="Q166" s="79"/>
      <c r="R166" s="79"/>
      <c r="S166" s="79"/>
      <c r="T166" s="79"/>
      <c r="U166" s="79"/>
      <c r="W166" s="3"/>
    </row>
    <row r="167" spans="5:23" x14ac:dyDescent="0.25">
      <c r="F167" t="s">
        <v>943</v>
      </c>
      <c r="G167" s="72" t="s">
        <v>283</v>
      </c>
      <c r="H167" s="63"/>
      <c r="J167" s="79"/>
      <c r="K167" s="79"/>
      <c r="L167" s="79"/>
      <c r="M167" s="79"/>
      <c r="N167" s="79"/>
      <c r="O167" s="79"/>
      <c r="P167" s="79"/>
      <c r="Q167" s="79"/>
      <c r="R167" s="79"/>
      <c r="S167" s="79"/>
      <c r="T167" s="79"/>
      <c r="U167" s="79"/>
    </row>
    <row r="168" spans="5:23" x14ac:dyDescent="0.25">
      <c r="F168" t="s">
        <v>949</v>
      </c>
      <c r="G168" s="72" t="s">
        <v>283</v>
      </c>
      <c r="H168" s="63"/>
      <c r="J168" s="79"/>
      <c r="K168" s="79"/>
      <c r="L168" s="79"/>
      <c r="M168" s="79"/>
      <c r="N168" s="79"/>
      <c r="O168" s="79"/>
      <c r="P168" s="79"/>
      <c r="Q168" s="79"/>
      <c r="R168" s="79"/>
      <c r="S168" s="79"/>
      <c r="T168" s="79"/>
      <c r="U168" s="79"/>
    </row>
    <row r="169" spans="5:23" x14ac:dyDescent="0.25">
      <c r="F169" t="s">
        <v>950</v>
      </c>
      <c r="G169" s="72" t="s">
        <v>283</v>
      </c>
      <c r="H169" s="63"/>
      <c r="J169" s="79"/>
      <c r="K169" s="79"/>
      <c r="L169" s="79"/>
      <c r="M169" s="79"/>
      <c r="N169" s="79"/>
      <c r="O169" s="79"/>
      <c r="P169" s="79"/>
      <c r="Q169" s="79"/>
      <c r="R169" s="79"/>
      <c r="S169" s="79"/>
      <c r="T169" s="79"/>
      <c r="U169" s="79"/>
    </row>
    <row r="170" spans="5:23" x14ac:dyDescent="0.25">
      <c r="F170" t="s">
        <v>951</v>
      </c>
      <c r="G170" s="72" t="s">
        <v>283</v>
      </c>
      <c r="H170" s="63"/>
      <c r="J170" s="79"/>
      <c r="K170" s="79"/>
      <c r="L170" s="79"/>
      <c r="M170" s="79"/>
      <c r="N170" s="79"/>
      <c r="O170" s="79"/>
      <c r="P170" s="79"/>
      <c r="Q170" s="79"/>
      <c r="R170" s="79"/>
      <c r="S170" s="79"/>
      <c r="T170" s="79"/>
      <c r="U170" s="79"/>
    </row>
    <row r="171" spans="5:23" x14ac:dyDescent="0.25">
      <c r="F171" t="s">
        <v>952</v>
      </c>
      <c r="G171" s="72" t="s">
        <v>283</v>
      </c>
      <c r="H171" s="63"/>
      <c r="J171" s="79"/>
      <c r="K171" s="79"/>
      <c r="L171" s="79"/>
      <c r="M171" s="79"/>
      <c r="N171" s="79"/>
      <c r="O171" s="79"/>
      <c r="P171" s="79"/>
      <c r="Q171" s="79"/>
      <c r="R171" s="79"/>
      <c r="S171" s="79"/>
      <c r="T171" s="79"/>
      <c r="U171" s="79"/>
    </row>
    <row r="172" spans="5:23" x14ac:dyDescent="0.25">
      <c r="F172" t="s">
        <v>944</v>
      </c>
      <c r="G172" s="72" t="s">
        <v>283</v>
      </c>
      <c r="H172" s="63"/>
      <c r="J172" s="121">
        <f t="shared" ref="J172:S172" si="54">$H134 * J73</f>
        <v>-1.0780000000000001</v>
      </c>
      <c r="K172" s="121">
        <f t="shared" si="54"/>
        <v>-1.0780000000000001</v>
      </c>
      <c r="L172" s="121">
        <f t="shared" si="54"/>
        <v>-1.0780000000000001</v>
      </c>
      <c r="M172" s="121">
        <f t="shared" si="54"/>
        <v>-0.99710219855719762</v>
      </c>
      <c r="N172" s="121">
        <f t="shared" si="54"/>
        <v>-0.99710219855719762</v>
      </c>
      <c r="O172" s="121">
        <f t="shared" si="54"/>
        <v>-0.99710219855719762</v>
      </c>
      <c r="P172" s="121">
        <f t="shared" si="54"/>
        <v>-8.0897801442802481E-2</v>
      </c>
      <c r="Q172" s="121">
        <f t="shared" si="54"/>
        <v>-1.0780000000000001</v>
      </c>
      <c r="R172" s="121">
        <f t="shared" si="54"/>
        <v>-1.0780000000000001</v>
      </c>
      <c r="S172" s="121">
        <f t="shared" si="54"/>
        <v>-1.0780000000000001</v>
      </c>
      <c r="T172" s="79"/>
      <c r="U172" s="79"/>
    </row>
    <row r="173" spans="5:23" x14ac:dyDescent="0.25">
      <c r="F173" t="s">
        <v>945</v>
      </c>
      <c r="G173" s="72" t="s">
        <v>283</v>
      </c>
      <c r="H173" s="63"/>
      <c r="J173" s="121">
        <f t="shared" ref="J173:S173" si="55">$H135 * J74</f>
        <v>-1.0469999999999999</v>
      </c>
      <c r="K173" s="121">
        <f t="shared" si="55"/>
        <v>-1.0469999999999999</v>
      </c>
      <c r="L173" s="121">
        <f t="shared" si="55"/>
        <v>-1.0469999999999999</v>
      </c>
      <c r="M173" s="121">
        <f t="shared" si="55"/>
        <v>-0.96842857318124842</v>
      </c>
      <c r="N173" s="121">
        <f t="shared" si="55"/>
        <v>-0.96842857318124842</v>
      </c>
      <c r="O173" s="121">
        <f t="shared" si="55"/>
        <v>-0.96842857318124842</v>
      </c>
      <c r="P173" s="121">
        <f t="shared" si="55"/>
        <v>-7.8571426818751552E-2</v>
      </c>
      <c r="Q173" s="121">
        <f t="shared" si="55"/>
        <v>-1.0469999999999999</v>
      </c>
      <c r="R173" s="121">
        <f t="shared" si="55"/>
        <v>-1.0469999999999999</v>
      </c>
      <c r="S173" s="121">
        <f t="shared" si="55"/>
        <v>0</v>
      </c>
      <c r="T173" s="79"/>
      <c r="U173" s="79"/>
    </row>
    <row r="174" spans="5:23" x14ac:dyDescent="0.25">
      <c r="F174" t="s">
        <v>946</v>
      </c>
      <c r="G174" s="72" t="s">
        <v>283</v>
      </c>
      <c r="H174" s="63"/>
      <c r="J174" s="121">
        <f t="shared" ref="J174:S174" si="56">$H136 * J75</f>
        <v>-1.0780000000000001</v>
      </c>
      <c r="K174" s="121">
        <f t="shared" si="56"/>
        <v>-1.0780000000000001</v>
      </c>
      <c r="L174" s="121">
        <f t="shared" si="56"/>
        <v>-1.0780000000000001</v>
      </c>
      <c r="M174" s="121">
        <f t="shared" si="56"/>
        <v>-0.99710219855719762</v>
      </c>
      <c r="N174" s="121">
        <f t="shared" si="56"/>
        <v>-0.99710219855719762</v>
      </c>
      <c r="O174" s="121">
        <f t="shared" si="56"/>
        <v>-0.99710219855719762</v>
      </c>
      <c r="P174" s="121">
        <f t="shared" si="56"/>
        <v>-8.0897801442802481E-2</v>
      </c>
      <c r="Q174" s="121">
        <f t="shared" si="56"/>
        <v>-1.0780000000000001</v>
      </c>
      <c r="R174" s="121">
        <f t="shared" si="56"/>
        <v>-1.0780000000000001</v>
      </c>
      <c r="S174" s="121">
        <f t="shared" si="56"/>
        <v>-1.0780000000000001</v>
      </c>
      <c r="T174" s="79"/>
      <c r="U174" s="79"/>
    </row>
    <row r="175" spans="5:23" x14ac:dyDescent="0.25">
      <c r="F175" t="s">
        <v>955</v>
      </c>
      <c r="G175" s="72" t="s">
        <v>283</v>
      </c>
      <c r="H175" s="63"/>
      <c r="J175" s="121">
        <f t="shared" ref="J175:S175" si="57">$H137 * J76</f>
        <v>-1.0780000000000001</v>
      </c>
      <c r="K175" s="121">
        <f t="shared" si="57"/>
        <v>-1.0780000000000001</v>
      </c>
      <c r="L175" s="121">
        <f t="shared" si="57"/>
        <v>-1.0780000000000001</v>
      </c>
      <c r="M175" s="121">
        <f t="shared" si="57"/>
        <v>-0.99710219855719762</v>
      </c>
      <c r="N175" s="121">
        <f t="shared" si="57"/>
        <v>-0.99710219855719762</v>
      </c>
      <c r="O175" s="121">
        <f t="shared" si="57"/>
        <v>-0.99710219855719762</v>
      </c>
      <c r="P175" s="121">
        <f t="shared" si="57"/>
        <v>-8.0897801442802481E-2</v>
      </c>
      <c r="Q175" s="121">
        <f t="shared" si="57"/>
        <v>-1.0780000000000001</v>
      </c>
      <c r="R175" s="121">
        <f t="shared" si="57"/>
        <v>-1.0780000000000001</v>
      </c>
      <c r="S175" s="121">
        <f t="shared" si="57"/>
        <v>-1.0780000000000001</v>
      </c>
      <c r="T175" s="79"/>
      <c r="U175" s="79"/>
    </row>
    <row r="176" spans="5:23" x14ac:dyDescent="0.25">
      <c r="F176" t="s">
        <v>947</v>
      </c>
      <c r="G176" s="72" t="s">
        <v>283</v>
      </c>
      <c r="H176" s="63"/>
      <c r="J176" s="121">
        <f t="shared" ref="J176:S176" si="58">$H138 * J77</f>
        <v>-1.0469999999999999</v>
      </c>
      <c r="K176" s="121">
        <f t="shared" si="58"/>
        <v>-1.0469999999999999</v>
      </c>
      <c r="L176" s="121">
        <f t="shared" si="58"/>
        <v>-1.0469999999999999</v>
      </c>
      <c r="M176" s="121">
        <f t="shared" si="58"/>
        <v>-0.96842857318124842</v>
      </c>
      <c r="N176" s="121">
        <f t="shared" si="58"/>
        <v>-0.96842857318124842</v>
      </c>
      <c r="O176" s="121">
        <f t="shared" si="58"/>
        <v>-0.96842857318124842</v>
      </c>
      <c r="P176" s="121">
        <f t="shared" si="58"/>
        <v>-7.8571426818751552E-2</v>
      </c>
      <c r="Q176" s="121">
        <f t="shared" si="58"/>
        <v>-1.0469999999999999</v>
      </c>
      <c r="R176" s="121">
        <f t="shared" si="58"/>
        <v>-1.0469999999999999</v>
      </c>
      <c r="S176" s="121">
        <f t="shared" si="58"/>
        <v>0</v>
      </c>
      <c r="T176" s="79"/>
      <c r="U176" s="79"/>
    </row>
    <row r="177" spans="2:44" x14ac:dyDescent="0.25">
      <c r="F177" t="s">
        <v>954</v>
      </c>
      <c r="G177" s="72" t="s">
        <v>283</v>
      </c>
      <c r="H177" s="63"/>
      <c r="J177" s="121">
        <f t="shared" ref="J177:S177" si="59">$H139 * J78</f>
        <v>-1.0469999999999999</v>
      </c>
      <c r="K177" s="121">
        <f t="shared" si="59"/>
        <v>-1.0469999999999999</v>
      </c>
      <c r="L177" s="121">
        <f t="shared" si="59"/>
        <v>-1.0469999999999999</v>
      </c>
      <c r="M177" s="121">
        <f t="shared" si="59"/>
        <v>-0.96842857318124842</v>
      </c>
      <c r="N177" s="121">
        <f t="shared" si="59"/>
        <v>-0.96842857318124842</v>
      </c>
      <c r="O177" s="121">
        <f t="shared" si="59"/>
        <v>-0.96842857318124842</v>
      </c>
      <c r="P177" s="121">
        <f t="shared" si="59"/>
        <v>-7.8571426818751552E-2</v>
      </c>
      <c r="Q177" s="121">
        <f t="shared" si="59"/>
        <v>-1.0469999999999999</v>
      </c>
      <c r="R177" s="121">
        <f t="shared" si="59"/>
        <v>-1.0469999999999999</v>
      </c>
      <c r="S177" s="121">
        <f t="shared" si="59"/>
        <v>0</v>
      </c>
      <c r="T177" s="79"/>
      <c r="U177" s="79"/>
    </row>
    <row r="178" spans="2:44" x14ac:dyDescent="0.25">
      <c r="F178" t="s">
        <v>948</v>
      </c>
      <c r="G178" s="72" t="s">
        <v>283</v>
      </c>
      <c r="H178" s="63"/>
      <c r="J178" s="121">
        <f t="shared" ref="J178:S178" si="60">$H140 * J79</f>
        <v>-1.036</v>
      </c>
      <c r="K178" s="121">
        <f t="shared" si="60"/>
        <v>-1.036</v>
      </c>
      <c r="L178" s="121">
        <f t="shared" si="60"/>
        <v>-1.036</v>
      </c>
      <c r="M178" s="121">
        <f t="shared" si="60"/>
        <v>-0.95825406095107302</v>
      </c>
      <c r="N178" s="121">
        <f t="shared" si="60"/>
        <v>-0.95825406095107302</v>
      </c>
      <c r="O178" s="121">
        <f t="shared" si="60"/>
        <v>-0.95825406095107302</v>
      </c>
      <c r="P178" s="121">
        <f t="shared" si="60"/>
        <v>-7.7745939048927057E-2</v>
      </c>
      <c r="Q178" s="121">
        <f t="shared" si="60"/>
        <v>-1.036</v>
      </c>
      <c r="R178" s="121">
        <f t="shared" si="60"/>
        <v>0</v>
      </c>
      <c r="S178" s="121">
        <f t="shared" si="60"/>
        <v>0</v>
      </c>
      <c r="T178" s="79"/>
      <c r="U178" s="79"/>
    </row>
    <row r="179" spans="2:44" x14ac:dyDescent="0.25">
      <c r="F179" s="37" t="s">
        <v>953</v>
      </c>
      <c r="G179" s="80" t="s">
        <v>283</v>
      </c>
      <c r="H179" s="130"/>
      <c r="I179" s="37"/>
      <c r="J179" s="131">
        <f>$H141 * J80</f>
        <v>-1.036</v>
      </c>
      <c r="K179" s="131">
        <f t="shared" ref="K179:S179" si="61">$H141 * K80</f>
        <v>-1.036</v>
      </c>
      <c r="L179" s="131">
        <f t="shared" si="61"/>
        <v>-1.036</v>
      </c>
      <c r="M179" s="131">
        <f t="shared" si="61"/>
        <v>-0.95825406095107302</v>
      </c>
      <c r="N179" s="131">
        <f t="shared" si="61"/>
        <v>-0.95825406095107302</v>
      </c>
      <c r="O179" s="131">
        <f t="shared" si="61"/>
        <v>-0.95825406095107302</v>
      </c>
      <c r="P179" s="131">
        <f t="shared" si="61"/>
        <v>-7.7745939048927057E-2</v>
      </c>
      <c r="Q179" s="131">
        <f t="shared" si="61"/>
        <v>-1.036</v>
      </c>
      <c r="R179" s="131">
        <f t="shared" si="61"/>
        <v>0</v>
      </c>
      <c r="S179" s="131">
        <f t="shared" si="61"/>
        <v>0</v>
      </c>
      <c r="T179" s="81"/>
      <c r="U179" s="81"/>
    </row>
    <row r="180" spans="2:44" x14ac:dyDescent="0.25">
      <c r="G180" s="13"/>
    </row>
    <row r="181" spans="2:44" x14ac:dyDescent="0.25">
      <c r="B181" s="30" t="s">
        <v>231</v>
      </c>
      <c r="C181" s="30"/>
      <c r="D181" s="105"/>
      <c r="E181" s="105"/>
      <c r="F181" s="105"/>
      <c r="G181" s="132"/>
      <c r="H181" s="105"/>
      <c r="I181" s="105"/>
      <c r="J181" s="105"/>
      <c r="K181" s="105"/>
      <c r="L181" s="105"/>
      <c r="M181" s="105"/>
      <c r="N181" s="105"/>
      <c r="O181" s="105"/>
      <c r="P181" s="105"/>
      <c r="Q181" s="105"/>
      <c r="R181" s="105"/>
      <c r="S181" s="105"/>
      <c r="T181" s="105"/>
      <c r="U181" s="105"/>
      <c r="V181" s="105"/>
      <c r="W181" s="105"/>
      <c r="X181" s="105"/>
      <c r="Y181" s="105"/>
      <c r="Z181" s="105"/>
      <c r="AA181" s="105"/>
      <c r="AB181" s="105"/>
      <c r="AC181" s="105"/>
      <c r="AD181" s="105"/>
      <c r="AE181" s="105"/>
      <c r="AF181" s="105"/>
      <c r="AG181" s="105"/>
      <c r="AH181" s="105"/>
      <c r="AI181" s="105"/>
      <c r="AJ181" s="105"/>
      <c r="AK181" s="105"/>
      <c r="AL181" s="105"/>
      <c r="AM181" s="105"/>
      <c r="AN181" s="105"/>
      <c r="AO181" s="105"/>
      <c r="AP181" s="105"/>
      <c r="AQ181" s="105"/>
      <c r="AR181" s="105"/>
    </row>
    <row r="182" spans="2:44" x14ac:dyDescent="0.25">
      <c r="G182" s="13"/>
    </row>
    <row r="183" spans="2:44" x14ac:dyDescent="0.25">
      <c r="E183" t="s">
        <v>232</v>
      </c>
      <c r="G183" s="6" t="s">
        <v>55</v>
      </c>
      <c r="H183" s="26">
        <f t="array" ref="H183">SUM(IF(ISERROR(H19:W181), 1))</f>
        <v>0</v>
      </c>
    </row>
    <row r="185" spans="2:44" x14ac:dyDescent="0.25">
      <c r="B185" s="30" t="s">
        <v>106</v>
      </c>
      <c r="C185" s="30"/>
      <c r="D185" s="30"/>
      <c r="E185" s="30"/>
      <c r="F185" s="30"/>
      <c r="G185" s="30"/>
      <c r="H185" s="30"/>
      <c r="I185" s="30"/>
      <c r="J185" s="30"/>
      <c r="K185" s="133"/>
      <c r="L185" s="133"/>
      <c r="M185" s="133"/>
      <c r="N185" s="133"/>
      <c r="O185" s="133"/>
      <c r="P185" s="133"/>
      <c r="Q185" s="133"/>
      <c r="R185" s="133"/>
      <c r="S185" s="133"/>
      <c r="T185" s="133"/>
      <c r="U185" s="30"/>
      <c r="V185" s="30"/>
      <c r="W185" s="30"/>
    </row>
  </sheetData>
  <sheetProtection sheet="1" objects="1" formatCells="0" formatColumns="0" formatRows="0" sort="0" autoFilter="0"/>
  <conditionalFormatting sqref="H183">
    <cfRule type="cellIs" dxfId="169" priority="2" operator="greaterThan">
      <formula>0</formula>
    </cfRule>
  </conditionalFormatting>
  <conditionalFormatting sqref="A4:XFD4">
    <cfRule type="expression" dxfId="168" priority="1">
      <formula>LEFT($A$4,1) &lt;&gt; "0"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7109375" hidden="1"/>
  </cols>
  <sheetData>
    <row r="1" spans="1:23" s="1" customFormat="1" x14ac:dyDescent="0.25">
      <c r="A1" s="1" t="str">
        <f ca="1">MID(CELL("filename",A1),FIND("]",CELL("filename",A1))+1,255)</f>
        <v>Customer contributions</v>
      </c>
    </row>
    <row r="2" spans="1:23" s="1" customFormat="1" x14ac:dyDescent="0.25">
      <c r="A2" s="1" t="str">
        <f>Cover!D21&amp;" - "&amp;Cover!D23</f>
        <v>WPD East Midlands - April 21 Prices</v>
      </c>
    </row>
    <row r="3" spans="1:23" s="5" customFormat="1" x14ac:dyDescent="0.25">
      <c r="A3" s="5" t="str">
        <f>Cover!D2&amp;" - "&amp;Cover!D8&amp;" v"&amp;Cover!D10&amp;" - "&amp;Cover!D19</f>
        <v>CDCM charging model - Release for charge setting v5 - 2021/22</v>
      </c>
    </row>
    <row r="4" spans="1:23" x14ac:dyDescent="0.25">
      <c r="A4" s="12" t="str">
        <f>H70 &amp; IF(H70 = 1, " issue", " issues") &amp;" identified in checks on this sheet"</f>
        <v>0 issues identified in checks on this sheet</v>
      </c>
      <c r="B4" s="13"/>
      <c r="C4" s="13"/>
      <c r="D4" s="13"/>
      <c r="E4" s="13"/>
      <c r="F4" s="13"/>
      <c r="G4" s="13"/>
      <c r="H4" s="14"/>
      <c r="I4" s="14"/>
      <c r="J4" s="13"/>
    </row>
    <row r="5" spans="1:23" x14ac:dyDescent="0.25">
      <c r="B5" s="59" t="s">
        <v>142</v>
      </c>
      <c r="C5" s="60"/>
      <c r="D5" s="60"/>
      <c r="E5" s="60"/>
      <c r="F5" s="60"/>
      <c r="G5" s="61" t="s">
        <v>143</v>
      </c>
      <c r="H5" s="62" t="s">
        <v>144</v>
      </c>
      <c r="W5" s="61" t="s">
        <v>145</v>
      </c>
    </row>
    <row r="7" spans="1:23" x14ac:dyDescent="0.25">
      <c r="B7" s="30" t="s">
        <v>10</v>
      </c>
      <c r="C7" s="30"/>
      <c r="D7" s="30"/>
      <c r="E7" s="30"/>
      <c r="F7" s="30"/>
      <c r="G7" s="30"/>
      <c r="H7" s="30"/>
      <c r="I7" s="30"/>
      <c r="J7" s="30"/>
      <c r="K7" s="30"/>
      <c r="L7" s="30"/>
      <c r="M7" s="30"/>
      <c r="N7" s="30"/>
      <c r="O7" s="30"/>
      <c r="P7" s="30"/>
      <c r="Q7" s="30"/>
      <c r="R7" s="30"/>
      <c r="S7" s="30"/>
      <c r="T7" s="30"/>
      <c r="U7" s="30"/>
      <c r="V7" s="30"/>
      <c r="W7" s="30"/>
    </row>
    <row r="9" spans="1:23" x14ac:dyDescent="0.25">
      <c r="C9" s="29" t="s">
        <v>410</v>
      </c>
    </row>
    <row r="10" spans="1:23" x14ac:dyDescent="0.25">
      <c r="C10" s="29" t="s">
        <v>411</v>
      </c>
    </row>
    <row r="12" spans="1:23" x14ac:dyDescent="0.25">
      <c r="B12" s="30" t="s">
        <v>66</v>
      </c>
      <c r="C12" s="30"/>
      <c r="D12" s="30"/>
      <c r="E12" s="30"/>
      <c r="F12" s="30"/>
      <c r="G12" s="30"/>
      <c r="H12" s="30"/>
      <c r="I12" s="30"/>
      <c r="J12" s="30"/>
      <c r="K12" s="30"/>
      <c r="L12" s="30"/>
      <c r="M12" s="30"/>
      <c r="N12" s="30"/>
      <c r="O12" s="30"/>
      <c r="P12" s="30"/>
      <c r="Q12" s="30"/>
      <c r="R12" s="30"/>
      <c r="S12" s="30"/>
      <c r="T12" s="30"/>
      <c r="U12" s="30"/>
      <c r="V12" s="30"/>
      <c r="W12" s="30"/>
    </row>
    <row r="14" spans="1:23" x14ac:dyDescent="0.25">
      <c r="C14" s="29" t="s">
        <v>412</v>
      </c>
    </row>
    <row r="16" spans="1:23" x14ac:dyDescent="0.25">
      <c r="C16" s="31" t="str">
        <f ca="1">INDEX('Version control'!$H$34:$H$57,MATCH($A$1,'Version control'!$F$34:$F$57,0),1)&amp;"-A: Network use factors"</f>
        <v>Section 103-A: Network use factors</v>
      </c>
      <c r="D16" s="31"/>
      <c r="E16" s="31"/>
      <c r="F16" s="31"/>
      <c r="G16" s="31"/>
      <c r="H16" s="31"/>
      <c r="I16" s="31"/>
      <c r="J16" s="31"/>
      <c r="K16" s="31"/>
      <c r="L16" s="31"/>
      <c r="M16" s="31"/>
      <c r="N16" s="31"/>
      <c r="O16" s="31"/>
      <c r="P16" s="31"/>
      <c r="Q16" s="31"/>
      <c r="R16" s="31"/>
      <c r="S16" s="31"/>
      <c r="T16" s="31"/>
      <c r="U16" s="31"/>
      <c r="V16" s="31"/>
      <c r="W16" s="31"/>
    </row>
    <row r="18" spans="5:23" x14ac:dyDescent="0.25">
      <c r="E18" s="32" t="s">
        <v>180</v>
      </c>
      <c r="H18" s="3"/>
      <c r="I18" s="3" t="s">
        <v>154</v>
      </c>
      <c r="J18" s="3"/>
      <c r="K18" s="3"/>
      <c r="L18" s="3"/>
      <c r="M18" s="3"/>
      <c r="N18" s="3"/>
      <c r="O18" s="3"/>
      <c r="P18" s="3"/>
      <c r="Q18" s="3"/>
      <c r="R18" s="3"/>
      <c r="S18" s="3"/>
      <c r="T18" s="3"/>
      <c r="U18" s="3"/>
      <c r="W18" s="3" t="s">
        <v>181</v>
      </c>
    </row>
    <row r="19" spans="5:23" x14ac:dyDescent="0.25">
      <c r="E19" s="29" t="s">
        <v>182</v>
      </c>
      <c r="H19" s="3"/>
      <c r="I19" s="3"/>
      <c r="J19" s="3"/>
      <c r="K19" s="3"/>
      <c r="L19" s="3"/>
      <c r="M19" s="3"/>
      <c r="N19" s="3"/>
      <c r="O19" s="3"/>
      <c r="P19" s="3"/>
      <c r="Q19" s="3"/>
      <c r="R19" s="3"/>
      <c r="S19" s="3"/>
      <c r="T19" s="3"/>
      <c r="U19" s="3"/>
      <c r="W19" s="3"/>
    </row>
    <row r="20" spans="5:23" x14ac:dyDescent="0.25">
      <c r="F20" s="134"/>
      <c r="G20" s="134"/>
      <c r="H20" s="135"/>
      <c r="I20" s="135"/>
      <c r="J20" s="136" t="s">
        <v>183</v>
      </c>
      <c r="K20" s="136" t="s">
        <v>184</v>
      </c>
      <c r="L20" s="136" t="s">
        <v>185</v>
      </c>
      <c r="M20" s="136" t="s">
        <v>186</v>
      </c>
      <c r="O20" s="3"/>
      <c r="P20" s="3"/>
      <c r="Q20" s="3"/>
      <c r="R20" s="3"/>
      <c r="S20" s="3"/>
      <c r="T20" s="3"/>
      <c r="U20" s="3"/>
    </row>
    <row r="21" spans="5:23" x14ac:dyDescent="0.25">
      <c r="F21" s="28" t="s">
        <v>940</v>
      </c>
      <c r="G21" s="13" t="s">
        <v>176</v>
      </c>
      <c r="H21" s="3"/>
      <c r="I21" s="3"/>
      <c r="J21" s="137">
        <f t="array" ref="J21:M36">TRANSPOSE('Fixed inputs'!J53:Y56)</f>
        <v>0</v>
      </c>
      <c r="K21" s="137">
        <v>0</v>
      </c>
      <c r="L21" s="137">
        <v>0</v>
      </c>
      <c r="M21" s="137">
        <v>1</v>
      </c>
      <c r="S21" s="3"/>
      <c r="T21" s="3"/>
      <c r="U21" s="3"/>
      <c r="W21" s="3"/>
    </row>
    <row r="22" spans="5:23" x14ac:dyDescent="0.25">
      <c r="F22" s="28" t="s">
        <v>942</v>
      </c>
      <c r="G22" s="13" t="s">
        <v>176</v>
      </c>
      <c r="H22" s="3"/>
      <c r="I22" s="3"/>
      <c r="J22" s="137">
        <v>0</v>
      </c>
      <c r="K22" s="137">
        <v>0</v>
      </c>
      <c r="L22" s="137">
        <v>0</v>
      </c>
      <c r="M22" s="137">
        <v>1</v>
      </c>
      <c r="S22" s="3"/>
      <c r="T22" s="3"/>
      <c r="U22" s="3"/>
      <c r="W22" s="3"/>
    </row>
    <row r="23" spans="5:23" x14ac:dyDescent="0.25">
      <c r="F23" s="28" t="s">
        <v>941</v>
      </c>
      <c r="G23" s="13" t="s">
        <v>176</v>
      </c>
      <c r="H23" s="3"/>
      <c r="I23" s="3"/>
      <c r="J23" s="137">
        <v>0</v>
      </c>
      <c r="K23" s="137">
        <v>0</v>
      </c>
      <c r="L23" s="137">
        <v>0</v>
      </c>
      <c r="M23" s="137">
        <v>1</v>
      </c>
      <c r="S23" s="3"/>
      <c r="T23" s="3"/>
      <c r="U23" s="3"/>
      <c r="W23" s="3"/>
    </row>
    <row r="24" spans="5:23" x14ac:dyDescent="0.25">
      <c r="F24" s="28" t="s">
        <v>943</v>
      </c>
      <c r="G24" s="13" t="s">
        <v>176</v>
      </c>
      <c r="H24" s="3"/>
      <c r="I24" s="3"/>
      <c r="J24" s="137">
        <v>0</v>
      </c>
      <c r="K24" s="137">
        <v>0</v>
      </c>
      <c r="L24" s="137">
        <v>0</v>
      </c>
      <c r="M24" s="137">
        <v>1</v>
      </c>
      <c r="S24" s="3"/>
      <c r="T24" s="3"/>
      <c r="U24" s="3"/>
      <c r="W24" s="3"/>
    </row>
    <row r="25" spans="5:23" x14ac:dyDescent="0.25">
      <c r="F25" s="28" t="s">
        <v>949</v>
      </c>
      <c r="G25" s="13" t="s">
        <v>176</v>
      </c>
      <c r="H25" s="3"/>
      <c r="I25" s="3"/>
      <c r="J25" s="137">
        <v>0</v>
      </c>
      <c r="K25" s="137">
        <v>0</v>
      </c>
      <c r="L25" s="137">
        <v>0</v>
      </c>
      <c r="M25" s="137">
        <v>1</v>
      </c>
      <c r="S25" s="3"/>
      <c r="T25" s="3"/>
      <c r="U25" s="3"/>
      <c r="W25" s="3"/>
    </row>
    <row r="26" spans="5:23" x14ac:dyDescent="0.25">
      <c r="F26" s="28" t="s">
        <v>950</v>
      </c>
      <c r="G26" s="13" t="s">
        <v>176</v>
      </c>
      <c r="H26" s="3"/>
      <c r="I26" s="3"/>
      <c r="J26" s="137">
        <v>0</v>
      </c>
      <c r="K26" s="137">
        <v>0</v>
      </c>
      <c r="L26" s="137">
        <v>1</v>
      </c>
      <c r="M26" s="137">
        <v>0</v>
      </c>
      <c r="S26" s="3"/>
      <c r="T26" s="3"/>
      <c r="U26" s="3"/>
      <c r="W26" s="3"/>
    </row>
    <row r="27" spans="5:23" x14ac:dyDescent="0.25">
      <c r="F27" s="28" t="s">
        <v>951</v>
      </c>
      <c r="G27" s="13" t="s">
        <v>176</v>
      </c>
      <c r="H27" s="3"/>
      <c r="I27" s="3"/>
      <c r="J27" s="137">
        <v>0</v>
      </c>
      <c r="K27" s="137">
        <v>1</v>
      </c>
      <c r="L27" s="137">
        <v>0</v>
      </c>
      <c r="M27" s="137">
        <v>0</v>
      </c>
      <c r="S27" s="3"/>
      <c r="T27" s="3"/>
      <c r="U27" s="3"/>
      <c r="W27" s="3"/>
    </row>
    <row r="28" spans="5:23" x14ac:dyDescent="0.25">
      <c r="F28" s="28" t="s">
        <v>952</v>
      </c>
      <c r="G28" s="13" t="s">
        <v>176</v>
      </c>
      <c r="H28" s="3"/>
      <c r="I28" s="3"/>
      <c r="J28" s="137">
        <v>0</v>
      </c>
      <c r="K28" s="137">
        <v>0</v>
      </c>
      <c r="L28" s="137">
        <v>0</v>
      </c>
      <c r="M28" s="137">
        <v>1</v>
      </c>
      <c r="S28" s="3"/>
      <c r="T28" s="3"/>
      <c r="U28" s="3"/>
      <c r="W28" s="3"/>
    </row>
    <row r="29" spans="5:23" x14ac:dyDescent="0.25">
      <c r="F29" s="28" t="s">
        <v>944</v>
      </c>
      <c r="G29" s="13" t="s">
        <v>176</v>
      </c>
      <c r="H29" s="3"/>
      <c r="I29" s="3"/>
      <c r="J29" s="137">
        <v>0</v>
      </c>
      <c r="K29" s="137">
        <v>0</v>
      </c>
      <c r="L29" s="137">
        <v>0</v>
      </c>
      <c r="M29" s="137">
        <v>1</v>
      </c>
      <c r="S29" s="3"/>
      <c r="T29" s="3"/>
      <c r="U29" s="3"/>
      <c r="W29" s="3"/>
    </row>
    <row r="30" spans="5:23" x14ac:dyDescent="0.25">
      <c r="F30" s="28" t="s">
        <v>945</v>
      </c>
      <c r="G30" s="13" t="s">
        <v>176</v>
      </c>
      <c r="H30" s="3"/>
      <c r="I30" s="3"/>
      <c r="J30" s="137">
        <v>0</v>
      </c>
      <c r="K30" s="137">
        <v>0</v>
      </c>
      <c r="L30" s="137">
        <v>1</v>
      </c>
      <c r="M30" s="137">
        <v>0</v>
      </c>
      <c r="S30" s="3"/>
      <c r="T30" s="3"/>
      <c r="U30" s="3"/>
      <c r="W30" s="3"/>
    </row>
    <row r="31" spans="5:23" x14ac:dyDescent="0.25">
      <c r="F31" s="28" t="s">
        <v>946</v>
      </c>
      <c r="G31" s="13" t="s">
        <v>176</v>
      </c>
      <c r="H31" s="3"/>
      <c r="I31" s="3"/>
      <c r="J31" s="137">
        <v>0</v>
      </c>
      <c r="K31" s="137">
        <v>0</v>
      </c>
      <c r="L31" s="137">
        <v>0</v>
      </c>
      <c r="M31" s="137">
        <v>1</v>
      </c>
      <c r="S31" s="3"/>
      <c r="T31" s="3"/>
      <c r="U31" s="3"/>
      <c r="W31" s="3"/>
    </row>
    <row r="32" spans="5:23" x14ac:dyDescent="0.25">
      <c r="F32" s="28" t="s">
        <v>955</v>
      </c>
      <c r="G32" s="13" t="s">
        <v>176</v>
      </c>
      <c r="H32" s="3"/>
      <c r="I32" s="3"/>
      <c r="J32" s="137">
        <v>0</v>
      </c>
      <c r="K32" s="137">
        <v>0</v>
      </c>
      <c r="L32" s="137">
        <v>0</v>
      </c>
      <c r="M32" s="137">
        <v>1</v>
      </c>
      <c r="S32" s="3"/>
      <c r="T32" s="3"/>
      <c r="U32" s="3"/>
      <c r="W32" s="3"/>
    </row>
    <row r="33" spans="3:23" x14ac:dyDescent="0.25">
      <c r="F33" s="28" t="s">
        <v>947</v>
      </c>
      <c r="G33" s="13" t="s">
        <v>176</v>
      </c>
      <c r="H33" s="3"/>
      <c r="I33" s="3"/>
      <c r="J33" s="137">
        <v>0</v>
      </c>
      <c r="K33" s="137">
        <v>0</v>
      </c>
      <c r="L33" s="137">
        <v>1</v>
      </c>
      <c r="M33" s="137">
        <v>0</v>
      </c>
      <c r="S33" s="3"/>
      <c r="T33" s="3"/>
      <c r="U33" s="3"/>
      <c r="W33" s="3"/>
    </row>
    <row r="34" spans="3:23" x14ac:dyDescent="0.25">
      <c r="F34" s="28" t="s">
        <v>954</v>
      </c>
      <c r="G34" s="13" t="s">
        <v>176</v>
      </c>
      <c r="H34" s="3"/>
      <c r="I34" s="3"/>
      <c r="J34" s="137">
        <v>0</v>
      </c>
      <c r="K34" s="137">
        <v>0</v>
      </c>
      <c r="L34" s="137">
        <v>1</v>
      </c>
      <c r="M34" s="137">
        <v>0</v>
      </c>
      <c r="S34" s="3"/>
      <c r="T34" s="3"/>
      <c r="U34" s="3"/>
      <c r="W34" s="3"/>
    </row>
    <row r="35" spans="3:23" x14ac:dyDescent="0.25">
      <c r="F35" s="28" t="s">
        <v>948</v>
      </c>
      <c r="G35" s="13" t="s">
        <v>176</v>
      </c>
      <c r="H35" s="3"/>
      <c r="I35" s="3"/>
      <c r="J35" s="137">
        <v>0</v>
      </c>
      <c r="K35" s="137">
        <v>1</v>
      </c>
      <c r="L35" s="137">
        <v>0</v>
      </c>
      <c r="M35" s="137">
        <v>0</v>
      </c>
      <c r="S35" s="3"/>
      <c r="T35" s="3"/>
      <c r="U35" s="3"/>
      <c r="W35" s="3"/>
    </row>
    <row r="36" spans="3:23" x14ac:dyDescent="0.25">
      <c r="F36" s="67" t="s">
        <v>953</v>
      </c>
      <c r="G36" s="86" t="s">
        <v>176</v>
      </c>
      <c r="H36" s="76"/>
      <c r="I36" s="76"/>
      <c r="J36" s="138">
        <v>0</v>
      </c>
      <c r="K36" s="138">
        <v>1</v>
      </c>
      <c r="L36" s="138">
        <v>0</v>
      </c>
      <c r="M36" s="138">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31" t="str">
        <f ca="1">INDEX('Version control'!$H$34:$H$57,MATCH($A$1,'Version control'!$F$34:$F$57,0),1)&amp;"-B: Customer contributions"</f>
        <v>Section 103-B: Customer contributions</v>
      </c>
      <c r="D38" s="31"/>
      <c r="E38" s="31"/>
      <c r="F38" s="31"/>
      <c r="G38" s="31"/>
      <c r="H38" s="31"/>
      <c r="I38" s="31"/>
      <c r="J38" s="31"/>
      <c r="K38" s="31"/>
      <c r="L38" s="31"/>
      <c r="M38" s="31"/>
      <c r="N38" s="31"/>
      <c r="O38" s="31"/>
      <c r="P38" s="31"/>
      <c r="Q38" s="31"/>
      <c r="R38" s="31"/>
      <c r="S38" s="31"/>
      <c r="T38" s="31"/>
      <c r="U38" s="31"/>
      <c r="V38" s="31"/>
      <c r="W38" s="31"/>
    </row>
    <row r="40" spans="3:23" x14ac:dyDescent="0.25">
      <c r="E40" s="32" t="s">
        <v>413</v>
      </c>
      <c r="H40" s="3"/>
      <c r="I40" s="3" t="s">
        <v>154</v>
      </c>
      <c r="J40" s="3"/>
      <c r="K40" s="3"/>
      <c r="L40" s="3"/>
      <c r="M40" s="3"/>
      <c r="N40" s="3"/>
      <c r="O40" s="3"/>
      <c r="P40" s="3"/>
      <c r="Q40" s="3"/>
      <c r="R40" s="3"/>
      <c r="S40" s="3"/>
      <c r="T40" s="3"/>
      <c r="U40" s="3"/>
      <c r="W40" s="3" t="s">
        <v>414</v>
      </c>
    </row>
    <row r="41" spans="3:23" x14ac:dyDescent="0.25">
      <c r="E41" s="29" t="s">
        <v>415</v>
      </c>
      <c r="H41" s="3"/>
      <c r="I41" s="3"/>
      <c r="J41" s="3"/>
      <c r="K41" s="3"/>
      <c r="L41" s="3"/>
      <c r="M41" s="3"/>
      <c r="N41" s="3"/>
      <c r="O41" s="3"/>
      <c r="P41" s="3"/>
      <c r="Q41" s="3"/>
      <c r="R41" s="3"/>
      <c r="S41" s="3"/>
      <c r="T41" s="3"/>
      <c r="U41" s="3"/>
      <c r="W41" s="3"/>
    </row>
    <row r="42" spans="3:23" x14ac:dyDescent="0.25">
      <c r="E42" s="32"/>
      <c r="F42" s="139"/>
      <c r="G42" s="139"/>
      <c r="H42" s="139"/>
      <c r="I42" s="139"/>
      <c r="J42" s="139" t="s">
        <v>189</v>
      </c>
      <c r="K42" s="140" t="s">
        <v>191</v>
      </c>
      <c r="L42" s="140" t="s">
        <v>192</v>
      </c>
      <c r="M42" s="140" t="s">
        <v>193</v>
      </c>
      <c r="N42" s="140" t="s">
        <v>194</v>
      </c>
      <c r="O42" s="140" t="s">
        <v>195</v>
      </c>
      <c r="P42" s="140" t="s">
        <v>196</v>
      </c>
      <c r="Q42" s="140" t="s">
        <v>197</v>
      </c>
      <c r="R42" s="140" t="s">
        <v>198</v>
      </c>
      <c r="S42" s="140" t="s">
        <v>199</v>
      </c>
      <c r="T42" s="140" t="s">
        <v>376</v>
      </c>
      <c r="U42" s="140" t="s">
        <v>377</v>
      </c>
    </row>
    <row r="43" spans="3:23" x14ac:dyDescent="0.25">
      <c r="F43" s="28" t="s">
        <v>186</v>
      </c>
      <c r="G43" s="72" t="s">
        <v>167</v>
      </c>
      <c r="H43" s="3"/>
      <c r="I43" s="3"/>
      <c r="J43" s="66"/>
      <c r="K43" s="66"/>
      <c r="L43" s="25">
        <f>'Inputs by network level'!L26</f>
        <v>0</v>
      </c>
      <c r="M43" s="25">
        <f>'Inputs by network level'!M26</f>
        <v>0</v>
      </c>
      <c r="N43" s="25">
        <f>'Inputs by network level'!N26</f>
        <v>0</v>
      </c>
      <c r="O43" s="25">
        <f>'Inputs by network level'!O26</f>
        <v>0</v>
      </c>
      <c r="P43" s="25">
        <f>'Inputs by network level'!P26</f>
        <v>0</v>
      </c>
      <c r="Q43" s="25">
        <f>'Inputs by network level'!Q26</f>
        <v>0.47913351897273304</v>
      </c>
      <c r="R43" s="25">
        <f>'Inputs by network level'!R26</f>
        <v>0.70892384564689981</v>
      </c>
      <c r="S43" s="25">
        <f>'Inputs by network level'!S26</f>
        <v>0.93871417232106646</v>
      </c>
      <c r="T43" s="66"/>
      <c r="U43" s="66"/>
      <c r="W43" s="3"/>
    </row>
    <row r="44" spans="3:23" x14ac:dyDescent="0.25">
      <c r="F44" s="28" t="s">
        <v>185</v>
      </c>
      <c r="G44" s="72" t="s">
        <v>167</v>
      </c>
      <c r="H44" s="3"/>
      <c r="I44" s="3"/>
      <c r="J44" s="66"/>
      <c r="K44" s="66"/>
      <c r="L44" s="25">
        <f>'Inputs by network level'!L27</f>
        <v>0</v>
      </c>
      <c r="M44" s="25">
        <f>'Inputs by network level'!M27</f>
        <v>0</v>
      </c>
      <c r="N44" s="25">
        <f>'Inputs by network level'!N27</f>
        <v>0</v>
      </c>
      <c r="O44" s="25">
        <f>'Inputs by network level'!O27</f>
        <v>0</v>
      </c>
      <c r="P44" s="25">
        <f>'Inputs by network level'!P27</f>
        <v>0</v>
      </c>
      <c r="Q44" s="25">
        <f>'Inputs by network level'!Q27</f>
        <v>0.47913351897273304</v>
      </c>
      <c r="R44" s="25">
        <f>'Inputs by network level'!R27</f>
        <v>0.70892384564689981</v>
      </c>
      <c r="S44" s="25">
        <f>'Inputs by network level'!S27</f>
        <v>0</v>
      </c>
      <c r="T44" s="66"/>
      <c r="U44" s="66"/>
      <c r="W44" s="3"/>
    </row>
    <row r="45" spans="3:23" x14ac:dyDescent="0.25">
      <c r="F45" s="28" t="s">
        <v>184</v>
      </c>
      <c r="G45" s="72" t="s">
        <v>167</v>
      </c>
      <c r="H45" s="3"/>
      <c r="I45" s="3"/>
      <c r="J45" s="66"/>
      <c r="K45" s="66"/>
      <c r="L45" s="25">
        <f>'Inputs by network level'!L28</f>
        <v>0</v>
      </c>
      <c r="M45" s="25">
        <f>'Inputs by network level'!M28</f>
        <v>0</v>
      </c>
      <c r="N45" s="25">
        <f>'Inputs by network level'!N28</f>
        <v>6.5420049562801799E-2</v>
      </c>
      <c r="O45" s="25">
        <f>'Inputs by network level'!O28</f>
        <v>0.35162962287700078</v>
      </c>
      <c r="P45" s="25">
        <f>'Inputs by network level'!P28</f>
        <v>0.35162962287700078</v>
      </c>
      <c r="Q45" s="25">
        <f>'Inputs by network level'!Q28</f>
        <v>0.63783919619119978</v>
      </c>
      <c r="R45" s="25">
        <f>'Inputs by network level'!R28</f>
        <v>0</v>
      </c>
      <c r="S45" s="25">
        <f>'Inputs by network level'!S28</f>
        <v>0</v>
      </c>
      <c r="T45" s="66"/>
      <c r="U45" s="66"/>
      <c r="W45" s="3"/>
    </row>
    <row r="46" spans="3:23" x14ac:dyDescent="0.25">
      <c r="F46" s="67" t="s">
        <v>183</v>
      </c>
      <c r="G46" s="80" t="s">
        <v>167</v>
      </c>
      <c r="H46" s="76"/>
      <c r="I46" s="76"/>
      <c r="J46" s="68"/>
      <c r="K46" s="68"/>
      <c r="L46" s="141">
        <f>'Inputs by network level'!L29</f>
        <v>0</v>
      </c>
      <c r="M46" s="141">
        <f>'Inputs by network level'!M29</f>
        <v>0</v>
      </c>
      <c r="N46" s="141">
        <f>'Inputs by network level'!N29</f>
        <v>6.5420049562801799E-2</v>
      </c>
      <c r="O46" s="141">
        <f>'Inputs by network level'!O29</f>
        <v>0.35162962287700078</v>
      </c>
      <c r="P46" s="141">
        <f>'Inputs by network level'!P29</f>
        <v>0</v>
      </c>
      <c r="Q46" s="141">
        <f>'Inputs by network level'!Q29</f>
        <v>0</v>
      </c>
      <c r="R46" s="141">
        <f>'Inputs by network level'!R29</f>
        <v>0</v>
      </c>
      <c r="S46" s="141">
        <f>'Inputs by network level'!S29</f>
        <v>0</v>
      </c>
      <c r="T46" s="68"/>
      <c r="U46" s="68"/>
      <c r="W46" s="3"/>
    </row>
    <row r="47" spans="3:23" x14ac:dyDescent="0.25">
      <c r="G47" s="13"/>
      <c r="H47" s="3"/>
      <c r="I47" s="3"/>
      <c r="J47" s="3"/>
      <c r="K47" s="3"/>
      <c r="L47" s="3"/>
      <c r="M47" s="3"/>
      <c r="N47" s="3"/>
      <c r="O47" s="3"/>
      <c r="P47" s="3"/>
      <c r="Q47" s="3"/>
      <c r="R47" s="3"/>
      <c r="S47" s="3"/>
      <c r="T47" s="3"/>
      <c r="U47" s="3"/>
      <c r="W47" s="3"/>
    </row>
    <row r="48" spans="3:23" x14ac:dyDescent="0.25">
      <c r="E48" s="32" t="s">
        <v>416</v>
      </c>
      <c r="H48" s="13"/>
      <c r="I48" s="3"/>
      <c r="J48" s="3"/>
      <c r="K48" s="3"/>
      <c r="L48" s="3"/>
      <c r="M48" s="3"/>
      <c r="N48" s="3"/>
      <c r="O48" s="3"/>
      <c r="P48" s="3"/>
      <c r="Q48" s="3"/>
      <c r="R48" s="3"/>
      <c r="S48" s="3"/>
      <c r="T48" s="3"/>
      <c r="U48" s="3"/>
      <c r="W48" s="3"/>
    </row>
    <row r="49" spans="5:23" x14ac:dyDescent="0.25">
      <c r="E49" s="29" t="s">
        <v>417</v>
      </c>
      <c r="H49" s="13"/>
      <c r="I49" s="3"/>
      <c r="J49" s="3"/>
      <c r="K49" s="3"/>
      <c r="L49" s="3"/>
      <c r="M49" s="3"/>
      <c r="N49" s="3"/>
      <c r="O49" s="3"/>
      <c r="P49" s="3"/>
      <c r="Q49" s="3"/>
      <c r="R49" s="3"/>
      <c r="S49" s="3"/>
      <c r="T49" s="3"/>
      <c r="U49" s="3"/>
      <c r="W49" s="3"/>
    </row>
    <row r="50" spans="5:23" x14ac:dyDescent="0.25">
      <c r="F50" s="139"/>
      <c r="G50" s="139"/>
      <c r="H50" s="142"/>
      <c r="I50" s="139"/>
      <c r="J50" s="139" t="s">
        <v>189</v>
      </c>
      <c r="K50" s="140" t="s">
        <v>191</v>
      </c>
      <c r="L50" s="140" t="s">
        <v>192</v>
      </c>
      <c r="M50" s="140" t="s">
        <v>193</v>
      </c>
      <c r="N50" s="140" t="s">
        <v>194</v>
      </c>
      <c r="O50" s="140" t="s">
        <v>195</v>
      </c>
      <c r="P50" s="140" t="s">
        <v>196</v>
      </c>
      <c r="Q50" s="140" t="s">
        <v>197</v>
      </c>
      <c r="R50" s="140" t="s">
        <v>198</v>
      </c>
      <c r="S50" s="140" t="s">
        <v>199</v>
      </c>
      <c r="T50" s="140" t="s">
        <v>376</v>
      </c>
      <c r="U50" s="140" t="s">
        <v>377</v>
      </c>
      <c r="W50" s="3"/>
    </row>
    <row r="51" spans="5:23" x14ac:dyDescent="0.25">
      <c r="F51" s="28" t="s">
        <v>940</v>
      </c>
      <c r="G51" s="28"/>
      <c r="H51" s="72" t="s">
        <v>167</v>
      </c>
      <c r="J51" s="70"/>
      <c r="K51" s="70"/>
      <c r="L51" s="111">
        <f t="shared" ref="L51:S60" si="0">$M21 * L$43 + $L21 * L$44 + $K21 * L$45 + $J21 * L$46</f>
        <v>0</v>
      </c>
      <c r="M51" s="111">
        <f t="shared" si="0"/>
        <v>0</v>
      </c>
      <c r="N51" s="111">
        <f t="shared" si="0"/>
        <v>0</v>
      </c>
      <c r="O51" s="111">
        <f t="shared" si="0"/>
        <v>0</v>
      </c>
      <c r="P51" s="111">
        <f t="shared" si="0"/>
        <v>0</v>
      </c>
      <c r="Q51" s="111">
        <f t="shared" si="0"/>
        <v>0.47913351897273304</v>
      </c>
      <c r="R51" s="111">
        <f t="shared" si="0"/>
        <v>0.70892384564689981</v>
      </c>
      <c r="S51" s="111">
        <f t="shared" si="0"/>
        <v>0.93871417232106646</v>
      </c>
      <c r="T51" s="70"/>
      <c r="U51" s="70"/>
    </row>
    <row r="52" spans="5:23" x14ac:dyDescent="0.25">
      <c r="F52" s="28" t="s">
        <v>942</v>
      </c>
      <c r="G52" s="28"/>
      <c r="H52" s="72" t="s">
        <v>167</v>
      </c>
      <c r="J52" s="70"/>
      <c r="K52" s="70"/>
      <c r="L52" s="111">
        <f t="shared" si="0"/>
        <v>0</v>
      </c>
      <c r="M52" s="111">
        <f t="shared" si="0"/>
        <v>0</v>
      </c>
      <c r="N52" s="111">
        <f t="shared" si="0"/>
        <v>0</v>
      </c>
      <c r="O52" s="111">
        <f t="shared" si="0"/>
        <v>0</v>
      </c>
      <c r="P52" s="111">
        <f t="shared" si="0"/>
        <v>0</v>
      </c>
      <c r="Q52" s="111">
        <f t="shared" si="0"/>
        <v>0.47913351897273304</v>
      </c>
      <c r="R52" s="111">
        <f t="shared" si="0"/>
        <v>0.70892384564689981</v>
      </c>
      <c r="S52" s="111">
        <f t="shared" si="0"/>
        <v>0.93871417232106646</v>
      </c>
      <c r="T52" s="70"/>
      <c r="U52" s="70"/>
    </row>
    <row r="53" spans="5:23" x14ac:dyDescent="0.25">
      <c r="F53" s="28" t="s">
        <v>941</v>
      </c>
      <c r="G53" s="28"/>
      <c r="H53" s="72" t="s">
        <v>167</v>
      </c>
      <c r="J53" s="70"/>
      <c r="K53" s="70"/>
      <c r="L53" s="111">
        <f t="shared" si="0"/>
        <v>0</v>
      </c>
      <c r="M53" s="111">
        <f t="shared" si="0"/>
        <v>0</v>
      </c>
      <c r="N53" s="111">
        <f t="shared" si="0"/>
        <v>0</v>
      </c>
      <c r="O53" s="111">
        <f t="shared" si="0"/>
        <v>0</v>
      </c>
      <c r="P53" s="111">
        <f t="shared" si="0"/>
        <v>0</v>
      </c>
      <c r="Q53" s="111">
        <f t="shared" si="0"/>
        <v>0.47913351897273304</v>
      </c>
      <c r="R53" s="111">
        <f t="shared" si="0"/>
        <v>0.70892384564689981</v>
      </c>
      <c r="S53" s="111">
        <f t="shared" si="0"/>
        <v>0.93871417232106646</v>
      </c>
      <c r="T53" s="70"/>
      <c r="U53" s="70"/>
    </row>
    <row r="54" spans="5:23" x14ac:dyDescent="0.25">
      <c r="F54" s="28" t="s">
        <v>943</v>
      </c>
      <c r="G54" s="28"/>
      <c r="H54" s="72" t="s">
        <v>167</v>
      </c>
      <c r="J54" s="70"/>
      <c r="K54" s="70"/>
      <c r="L54" s="111">
        <f t="shared" si="0"/>
        <v>0</v>
      </c>
      <c r="M54" s="111">
        <f t="shared" si="0"/>
        <v>0</v>
      </c>
      <c r="N54" s="111">
        <f t="shared" si="0"/>
        <v>0</v>
      </c>
      <c r="O54" s="111">
        <f t="shared" si="0"/>
        <v>0</v>
      </c>
      <c r="P54" s="111">
        <f t="shared" si="0"/>
        <v>0</v>
      </c>
      <c r="Q54" s="111">
        <f t="shared" si="0"/>
        <v>0.47913351897273304</v>
      </c>
      <c r="R54" s="111">
        <f t="shared" si="0"/>
        <v>0.70892384564689981</v>
      </c>
      <c r="S54" s="111">
        <f t="shared" si="0"/>
        <v>0.93871417232106646</v>
      </c>
      <c r="T54" s="70"/>
      <c r="U54" s="70"/>
    </row>
    <row r="55" spans="5:23" x14ac:dyDescent="0.25">
      <c r="F55" s="28" t="s">
        <v>949</v>
      </c>
      <c r="G55" s="28"/>
      <c r="H55" s="72" t="s">
        <v>167</v>
      </c>
      <c r="J55" s="70"/>
      <c r="K55" s="70"/>
      <c r="L55" s="111">
        <f t="shared" si="0"/>
        <v>0</v>
      </c>
      <c r="M55" s="111">
        <f t="shared" si="0"/>
        <v>0</v>
      </c>
      <c r="N55" s="111">
        <f t="shared" si="0"/>
        <v>0</v>
      </c>
      <c r="O55" s="111">
        <f t="shared" si="0"/>
        <v>0</v>
      </c>
      <c r="P55" s="111">
        <f t="shared" si="0"/>
        <v>0</v>
      </c>
      <c r="Q55" s="111">
        <f t="shared" si="0"/>
        <v>0.47913351897273304</v>
      </c>
      <c r="R55" s="111">
        <f t="shared" si="0"/>
        <v>0.70892384564689981</v>
      </c>
      <c r="S55" s="111">
        <f t="shared" si="0"/>
        <v>0.93871417232106646</v>
      </c>
      <c r="T55" s="70"/>
      <c r="U55" s="70"/>
    </row>
    <row r="56" spans="5:23" x14ac:dyDescent="0.25">
      <c r="F56" s="28" t="s">
        <v>950</v>
      </c>
      <c r="G56" s="28"/>
      <c r="H56" s="72" t="s">
        <v>167</v>
      </c>
      <c r="J56" s="70"/>
      <c r="K56" s="70"/>
      <c r="L56" s="111">
        <f t="shared" si="0"/>
        <v>0</v>
      </c>
      <c r="M56" s="111">
        <f t="shared" si="0"/>
        <v>0</v>
      </c>
      <c r="N56" s="111">
        <f t="shared" si="0"/>
        <v>0</v>
      </c>
      <c r="O56" s="111">
        <f t="shared" si="0"/>
        <v>0</v>
      </c>
      <c r="P56" s="111">
        <f t="shared" si="0"/>
        <v>0</v>
      </c>
      <c r="Q56" s="111">
        <f t="shared" si="0"/>
        <v>0.47913351897273304</v>
      </c>
      <c r="R56" s="111">
        <f t="shared" si="0"/>
        <v>0.70892384564689981</v>
      </c>
      <c r="S56" s="111">
        <f t="shared" si="0"/>
        <v>0</v>
      </c>
      <c r="T56" s="70"/>
      <c r="U56" s="70"/>
    </row>
    <row r="57" spans="5:23" x14ac:dyDescent="0.25">
      <c r="F57" s="28" t="s">
        <v>951</v>
      </c>
      <c r="G57" s="28"/>
      <c r="H57" s="72" t="s">
        <v>167</v>
      </c>
      <c r="J57" s="70"/>
      <c r="K57" s="70"/>
      <c r="L57" s="111">
        <f t="shared" si="0"/>
        <v>0</v>
      </c>
      <c r="M57" s="111">
        <f t="shared" si="0"/>
        <v>0</v>
      </c>
      <c r="N57" s="111">
        <f t="shared" si="0"/>
        <v>6.5420049562801799E-2</v>
      </c>
      <c r="O57" s="111">
        <f t="shared" si="0"/>
        <v>0.35162962287700078</v>
      </c>
      <c r="P57" s="111">
        <f t="shared" si="0"/>
        <v>0.35162962287700078</v>
      </c>
      <c r="Q57" s="111">
        <f t="shared" si="0"/>
        <v>0.63783919619119978</v>
      </c>
      <c r="R57" s="111">
        <f t="shared" si="0"/>
        <v>0</v>
      </c>
      <c r="S57" s="111">
        <f t="shared" si="0"/>
        <v>0</v>
      </c>
      <c r="T57" s="70"/>
      <c r="U57" s="70"/>
    </row>
    <row r="58" spans="5:23" x14ac:dyDescent="0.25">
      <c r="F58" s="28" t="s">
        <v>952</v>
      </c>
      <c r="G58" s="28"/>
      <c r="H58" s="72" t="s">
        <v>167</v>
      </c>
      <c r="J58" s="70"/>
      <c r="K58" s="70"/>
      <c r="L58" s="111">
        <f t="shared" si="0"/>
        <v>0</v>
      </c>
      <c r="M58" s="111">
        <f t="shared" si="0"/>
        <v>0</v>
      </c>
      <c r="N58" s="111">
        <f t="shared" si="0"/>
        <v>0</v>
      </c>
      <c r="O58" s="111">
        <f t="shared" si="0"/>
        <v>0</v>
      </c>
      <c r="P58" s="111">
        <f t="shared" si="0"/>
        <v>0</v>
      </c>
      <c r="Q58" s="111">
        <f t="shared" si="0"/>
        <v>0.47913351897273304</v>
      </c>
      <c r="R58" s="111">
        <f t="shared" si="0"/>
        <v>0.70892384564689981</v>
      </c>
      <c r="S58" s="111">
        <f t="shared" si="0"/>
        <v>0.93871417232106646</v>
      </c>
      <c r="T58" s="70"/>
      <c r="U58" s="70"/>
    </row>
    <row r="59" spans="5:23" x14ac:dyDescent="0.25">
      <c r="F59" s="28" t="s">
        <v>944</v>
      </c>
      <c r="G59" s="28"/>
      <c r="H59" s="72" t="s">
        <v>167</v>
      </c>
      <c r="J59" s="70"/>
      <c r="K59" s="70"/>
      <c r="L59" s="111">
        <f t="shared" si="0"/>
        <v>0</v>
      </c>
      <c r="M59" s="111">
        <f t="shared" si="0"/>
        <v>0</v>
      </c>
      <c r="N59" s="111">
        <f t="shared" si="0"/>
        <v>0</v>
      </c>
      <c r="O59" s="111">
        <f t="shared" si="0"/>
        <v>0</v>
      </c>
      <c r="P59" s="111">
        <f t="shared" si="0"/>
        <v>0</v>
      </c>
      <c r="Q59" s="111">
        <f t="shared" si="0"/>
        <v>0.47913351897273304</v>
      </c>
      <c r="R59" s="111">
        <f t="shared" si="0"/>
        <v>0.70892384564689981</v>
      </c>
      <c r="S59" s="111">
        <f t="shared" si="0"/>
        <v>0.93871417232106646</v>
      </c>
      <c r="T59" s="70"/>
      <c r="U59" s="70"/>
    </row>
    <row r="60" spans="5:23" x14ac:dyDescent="0.25">
      <c r="F60" s="28" t="s">
        <v>945</v>
      </c>
      <c r="G60" s="28"/>
      <c r="H60" s="72" t="s">
        <v>167</v>
      </c>
      <c r="J60" s="70"/>
      <c r="K60" s="70"/>
      <c r="L60" s="111">
        <f t="shared" si="0"/>
        <v>0</v>
      </c>
      <c r="M60" s="111">
        <f t="shared" si="0"/>
        <v>0</v>
      </c>
      <c r="N60" s="111">
        <f t="shared" si="0"/>
        <v>0</v>
      </c>
      <c r="O60" s="111">
        <f t="shared" si="0"/>
        <v>0</v>
      </c>
      <c r="P60" s="111">
        <f t="shared" si="0"/>
        <v>0</v>
      </c>
      <c r="Q60" s="111">
        <f t="shared" si="0"/>
        <v>0.47913351897273304</v>
      </c>
      <c r="R60" s="111">
        <f t="shared" si="0"/>
        <v>0.70892384564689981</v>
      </c>
      <c r="S60" s="111">
        <f t="shared" si="0"/>
        <v>0</v>
      </c>
      <c r="T60" s="70"/>
      <c r="U60" s="70"/>
    </row>
    <row r="61" spans="5:23" x14ac:dyDescent="0.25">
      <c r="F61" s="28" t="s">
        <v>946</v>
      </c>
      <c r="G61" s="28"/>
      <c r="H61" s="72" t="s">
        <v>167</v>
      </c>
      <c r="J61" s="70"/>
      <c r="K61" s="70"/>
      <c r="L61" s="111">
        <f t="shared" ref="L61:S66" si="1">$M31 * L$43 + $L31 * L$44 + $K31 * L$45 + $J31 * L$46</f>
        <v>0</v>
      </c>
      <c r="M61" s="111">
        <f t="shared" si="1"/>
        <v>0</v>
      </c>
      <c r="N61" s="111">
        <f t="shared" si="1"/>
        <v>0</v>
      </c>
      <c r="O61" s="111">
        <f t="shared" si="1"/>
        <v>0</v>
      </c>
      <c r="P61" s="111">
        <f t="shared" si="1"/>
        <v>0</v>
      </c>
      <c r="Q61" s="111">
        <f t="shared" si="1"/>
        <v>0.47913351897273304</v>
      </c>
      <c r="R61" s="111">
        <f t="shared" si="1"/>
        <v>0.70892384564689981</v>
      </c>
      <c r="S61" s="111">
        <f t="shared" si="1"/>
        <v>0.93871417232106646</v>
      </c>
      <c r="T61" s="70"/>
      <c r="U61" s="70"/>
    </row>
    <row r="62" spans="5:23" x14ac:dyDescent="0.25">
      <c r="F62" s="28" t="s">
        <v>955</v>
      </c>
      <c r="G62" s="28"/>
      <c r="H62" s="72" t="s">
        <v>167</v>
      </c>
      <c r="J62" s="70"/>
      <c r="K62" s="70"/>
      <c r="L62" s="111">
        <f t="shared" si="1"/>
        <v>0</v>
      </c>
      <c r="M62" s="111">
        <f t="shared" si="1"/>
        <v>0</v>
      </c>
      <c r="N62" s="111">
        <f t="shared" si="1"/>
        <v>0</v>
      </c>
      <c r="O62" s="111">
        <f t="shared" si="1"/>
        <v>0</v>
      </c>
      <c r="P62" s="111">
        <f t="shared" si="1"/>
        <v>0</v>
      </c>
      <c r="Q62" s="111">
        <f t="shared" si="1"/>
        <v>0.47913351897273304</v>
      </c>
      <c r="R62" s="111">
        <f t="shared" si="1"/>
        <v>0.70892384564689981</v>
      </c>
      <c r="S62" s="111">
        <f t="shared" si="1"/>
        <v>0.93871417232106646</v>
      </c>
      <c r="T62" s="70"/>
      <c r="U62" s="70"/>
    </row>
    <row r="63" spans="5:23" x14ac:dyDescent="0.25">
      <c r="F63" s="28" t="s">
        <v>947</v>
      </c>
      <c r="G63" s="28"/>
      <c r="H63" s="72" t="s">
        <v>167</v>
      </c>
      <c r="J63" s="70"/>
      <c r="K63" s="70"/>
      <c r="L63" s="111">
        <f t="shared" si="1"/>
        <v>0</v>
      </c>
      <c r="M63" s="111">
        <f t="shared" si="1"/>
        <v>0</v>
      </c>
      <c r="N63" s="111">
        <f t="shared" si="1"/>
        <v>0</v>
      </c>
      <c r="O63" s="111">
        <f t="shared" si="1"/>
        <v>0</v>
      </c>
      <c r="P63" s="111">
        <f t="shared" si="1"/>
        <v>0</v>
      </c>
      <c r="Q63" s="111">
        <f t="shared" si="1"/>
        <v>0.47913351897273304</v>
      </c>
      <c r="R63" s="111">
        <f t="shared" si="1"/>
        <v>0.70892384564689981</v>
      </c>
      <c r="S63" s="111">
        <f t="shared" si="1"/>
        <v>0</v>
      </c>
      <c r="T63" s="70"/>
      <c r="U63" s="70"/>
    </row>
    <row r="64" spans="5:23" x14ac:dyDescent="0.25">
      <c r="F64" s="28" t="s">
        <v>954</v>
      </c>
      <c r="G64" s="28"/>
      <c r="H64" s="72" t="s">
        <v>167</v>
      </c>
      <c r="J64" s="70"/>
      <c r="K64" s="70"/>
      <c r="L64" s="111">
        <f t="shared" si="1"/>
        <v>0</v>
      </c>
      <c r="M64" s="111">
        <f t="shared" si="1"/>
        <v>0</v>
      </c>
      <c r="N64" s="111">
        <f t="shared" si="1"/>
        <v>0</v>
      </c>
      <c r="O64" s="111">
        <f t="shared" si="1"/>
        <v>0</v>
      </c>
      <c r="P64" s="111">
        <f t="shared" si="1"/>
        <v>0</v>
      </c>
      <c r="Q64" s="111">
        <f t="shared" si="1"/>
        <v>0.47913351897273304</v>
      </c>
      <c r="R64" s="111">
        <f t="shared" si="1"/>
        <v>0.70892384564689981</v>
      </c>
      <c r="S64" s="111">
        <f t="shared" si="1"/>
        <v>0</v>
      </c>
      <c r="T64" s="70"/>
      <c r="U64" s="70"/>
    </row>
    <row r="65" spans="2:23" x14ac:dyDescent="0.25">
      <c r="F65" s="28" t="s">
        <v>948</v>
      </c>
      <c r="G65" s="28"/>
      <c r="H65" s="72" t="s">
        <v>167</v>
      </c>
      <c r="J65" s="70"/>
      <c r="K65" s="70"/>
      <c r="L65" s="111">
        <f t="shared" si="1"/>
        <v>0</v>
      </c>
      <c r="M65" s="111">
        <f t="shared" si="1"/>
        <v>0</v>
      </c>
      <c r="N65" s="111">
        <f t="shared" si="1"/>
        <v>6.5420049562801799E-2</v>
      </c>
      <c r="O65" s="111">
        <f t="shared" si="1"/>
        <v>0.35162962287700078</v>
      </c>
      <c r="P65" s="111">
        <f t="shared" si="1"/>
        <v>0.35162962287700078</v>
      </c>
      <c r="Q65" s="111">
        <f t="shared" si="1"/>
        <v>0.63783919619119978</v>
      </c>
      <c r="R65" s="111">
        <f t="shared" si="1"/>
        <v>0</v>
      </c>
      <c r="S65" s="111">
        <f t="shared" si="1"/>
        <v>0</v>
      </c>
      <c r="T65" s="70"/>
      <c r="U65" s="70"/>
    </row>
    <row r="66" spans="2:23" x14ac:dyDescent="0.25">
      <c r="F66" s="67" t="s">
        <v>953</v>
      </c>
      <c r="G66" s="67"/>
      <c r="H66" s="80" t="s">
        <v>167</v>
      </c>
      <c r="I66" s="37"/>
      <c r="J66" s="71"/>
      <c r="K66" s="71"/>
      <c r="L66" s="143">
        <f t="shared" si="1"/>
        <v>0</v>
      </c>
      <c r="M66" s="143">
        <f t="shared" si="1"/>
        <v>0</v>
      </c>
      <c r="N66" s="143">
        <f t="shared" si="1"/>
        <v>6.5420049562801799E-2</v>
      </c>
      <c r="O66" s="143">
        <f t="shared" si="1"/>
        <v>0.35162962287700078</v>
      </c>
      <c r="P66" s="143">
        <f t="shared" si="1"/>
        <v>0.35162962287700078</v>
      </c>
      <c r="Q66" s="143">
        <f t="shared" si="1"/>
        <v>0.63783919619119978</v>
      </c>
      <c r="R66" s="143">
        <f t="shared" si="1"/>
        <v>0</v>
      </c>
      <c r="S66" s="143">
        <f t="shared" si="1"/>
        <v>0</v>
      </c>
      <c r="T66" s="71"/>
      <c r="U66" s="71"/>
    </row>
    <row r="68" spans="2:23" x14ac:dyDescent="0.25">
      <c r="B68" s="30" t="s">
        <v>231</v>
      </c>
      <c r="C68" s="105"/>
      <c r="D68" s="104"/>
      <c r="E68" s="104"/>
      <c r="F68" s="105"/>
      <c r="G68" s="105"/>
      <c r="H68" s="105"/>
      <c r="I68" s="105"/>
      <c r="J68" s="105"/>
      <c r="K68" s="105"/>
      <c r="L68" s="105"/>
      <c r="M68" s="105"/>
      <c r="N68" s="105"/>
      <c r="O68" s="105"/>
      <c r="P68" s="105"/>
      <c r="Q68" s="105"/>
      <c r="R68" s="105"/>
      <c r="S68" s="105"/>
      <c r="T68" s="105"/>
      <c r="U68" s="105"/>
      <c r="V68" s="105"/>
      <c r="W68" s="105"/>
    </row>
    <row r="70" spans="2:23" x14ac:dyDescent="0.25">
      <c r="E70" t="s">
        <v>232</v>
      </c>
      <c r="G70" s="6" t="s">
        <v>55</v>
      </c>
      <c r="H70" s="26">
        <f t="array" ref="H70">SUM(IF(ISERROR(H21:U66), 1))</f>
        <v>0</v>
      </c>
    </row>
    <row r="72" spans="2:23" x14ac:dyDescent="0.25">
      <c r="B72" s="30" t="s">
        <v>106</v>
      </c>
      <c r="C72" s="105"/>
      <c r="D72" s="104"/>
      <c r="E72" s="104"/>
      <c r="F72" s="105"/>
      <c r="G72" s="105"/>
      <c r="H72" s="105"/>
      <c r="I72" s="105"/>
      <c r="J72" s="105"/>
      <c r="K72" s="105"/>
      <c r="L72" s="105"/>
      <c r="M72" s="105"/>
      <c r="N72" s="105"/>
      <c r="O72" s="105"/>
      <c r="P72" s="105"/>
      <c r="Q72" s="105"/>
      <c r="R72" s="105"/>
      <c r="S72" s="105"/>
      <c r="T72" s="105"/>
      <c r="U72" s="105"/>
      <c r="V72" s="105"/>
      <c r="W72" s="105"/>
    </row>
  </sheetData>
  <sheetProtection sheet="1" objects="1" formatCells="0" formatColumns="0" formatRows="0" sort="0" autoFilter="0"/>
  <conditionalFormatting sqref="H70">
    <cfRule type="cellIs" dxfId="167" priority="3" operator="greaterThan">
      <formula>0</formula>
    </cfRule>
  </conditionalFormatting>
  <conditionalFormatting sqref="A4:XFD4">
    <cfRule type="expression" dxfId="166" priority="2">
      <formula>LEFT($A$4,1) &lt;&gt; "0"</formula>
    </cfRule>
  </conditionalFormatting>
  <conditionalFormatting sqref="J5:U5">
    <cfRule type="expression" dxfId="165"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H14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0" width="24.5703125" hidden="1" customWidth="1"/>
    <col min="321" max="16384" width="8.7109375" hidden="1"/>
  </cols>
  <sheetData>
    <row r="1" spans="1:43" s="1" customFormat="1" x14ac:dyDescent="0.25">
      <c r="A1" s="1" t="str">
        <f ca="1">MID(CELL("filename",A1),FIND("]",CELL("filename",A1))+1,255)</f>
        <v>Volume adjustments</v>
      </c>
    </row>
    <row r="2" spans="1:43" s="1" customFormat="1" x14ac:dyDescent="0.25">
      <c r="A2" s="1" t="str">
        <f>Cover!D21&amp;" - "&amp;Cover!D23</f>
        <v>WPD East Midlands - April 21 Prices</v>
      </c>
    </row>
    <row r="3" spans="1:43" s="5" customFormat="1" x14ac:dyDescent="0.25">
      <c r="A3" s="5" t="str">
        <f>Cover!D2&amp;" - "&amp;Cover!D8&amp;" v"&amp;Cover!D10&amp;" - "&amp;Cover!D19</f>
        <v>CDCM charging model - Release for charge setting v5 - 2021/22</v>
      </c>
    </row>
    <row r="4" spans="1:43" x14ac:dyDescent="0.25">
      <c r="A4" s="12" t="str">
        <f>H140 &amp; IF(H140 = 1, " issue", " issues") &amp;" identified in checks on this sheet"</f>
        <v>0 issues identified in checks on this sheet</v>
      </c>
      <c r="B4" s="13"/>
      <c r="C4" s="13"/>
      <c r="D4" s="13"/>
      <c r="E4" s="13"/>
      <c r="F4" s="13"/>
      <c r="G4" s="13"/>
      <c r="H4" s="14"/>
      <c r="I4" s="14"/>
    </row>
    <row r="5" spans="1:43"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43"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25">
      <c r="C9" s="29" t="s">
        <v>418</v>
      </c>
    </row>
    <row r="10" spans="1:43" x14ac:dyDescent="0.25">
      <c r="C10" s="29" t="s">
        <v>419</v>
      </c>
    </row>
    <row r="11" spans="1:43" x14ac:dyDescent="0.25">
      <c r="C11" s="29" t="s">
        <v>420</v>
      </c>
    </row>
    <row r="13" spans="1:43" x14ac:dyDescent="0.25">
      <c r="B13" s="30" t="s">
        <v>421</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C13" s="30"/>
      <c r="AD13" s="30"/>
      <c r="AE13" s="30"/>
      <c r="AF13" s="30"/>
      <c r="AG13" s="30"/>
      <c r="AH13" s="30"/>
      <c r="AI13" s="30"/>
      <c r="AJ13" s="30"/>
      <c r="AK13" s="30"/>
      <c r="AL13" s="30"/>
      <c r="AM13" s="30"/>
      <c r="AN13" s="30"/>
      <c r="AO13" s="30"/>
      <c r="AQ13" s="30"/>
    </row>
    <row r="14" spans="1:43" x14ac:dyDescent="0.25">
      <c r="C14" s="29"/>
    </row>
    <row r="15" spans="1:43" x14ac:dyDescent="0.25">
      <c r="C15" s="31" t="str">
        <f ca="1">INDEX('Version control'!$H$34:$H$57,MATCH($A$1,'Version control'!$F$34:$F$57,0),1)&amp;"-A: LDNO discounts"</f>
        <v>Section 104-A: LDNO discounts</v>
      </c>
      <c r="D15" s="31"/>
      <c r="E15" s="31"/>
      <c r="F15" s="31"/>
      <c r="G15" s="31"/>
      <c r="H15" s="31"/>
      <c r="I15" s="31"/>
      <c r="J15" s="31"/>
      <c r="K15" s="31"/>
      <c r="L15" s="31"/>
      <c r="M15" s="31"/>
      <c r="N15" s="31"/>
      <c r="O15" s="31"/>
      <c r="P15" s="31"/>
      <c r="Q15" s="31"/>
      <c r="R15" s="31"/>
      <c r="S15" s="31"/>
      <c r="T15" s="31"/>
      <c r="U15" s="31"/>
      <c r="V15" s="31"/>
      <c r="W15" s="31"/>
      <c r="X15" s="31"/>
      <c r="Y15" s="31"/>
      <c r="Z15" s="31"/>
      <c r="AA15" s="31"/>
      <c r="AC15" s="30"/>
      <c r="AD15" s="30"/>
      <c r="AE15" s="30"/>
      <c r="AF15" s="30"/>
      <c r="AG15" s="30"/>
      <c r="AH15" s="30"/>
      <c r="AI15" s="30"/>
      <c r="AJ15" s="30"/>
      <c r="AK15" s="30"/>
      <c r="AL15" s="30"/>
      <c r="AM15" s="30"/>
      <c r="AN15" s="30"/>
      <c r="AO15" s="30"/>
      <c r="AQ15" s="30"/>
    </row>
    <row r="16" spans="1:43" x14ac:dyDescent="0.25">
      <c r="C16" s="29"/>
    </row>
    <row r="17" spans="4:43" x14ac:dyDescent="0.25">
      <c r="D17" s="29" t="s">
        <v>422</v>
      </c>
    </row>
    <row r="18" spans="4:43" x14ac:dyDescent="0.25">
      <c r="D18" s="29" t="s">
        <v>423</v>
      </c>
    </row>
    <row r="19" spans="4:43" x14ac:dyDescent="0.25">
      <c r="D19" s="29"/>
    </row>
    <row r="20" spans="4:43" x14ac:dyDescent="0.25">
      <c r="E20" s="88" t="s">
        <v>424</v>
      </c>
      <c r="I20" t="s">
        <v>154</v>
      </c>
      <c r="J20" s="63"/>
      <c r="K20" s="63"/>
      <c r="L20" s="63"/>
      <c r="M20" s="63"/>
      <c r="N20" s="63"/>
      <c r="O20" s="63"/>
      <c r="P20" s="63"/>
      <c r="Q20" s="63"/>
      <c r="R20" s="63"/>
      <c r="S20" s="63"/>
      <c r="T20" s="63"/>
      <c r="U20" s="63"/>
      <c r="V20" s="63"/>
      <c r="W20" s="63"/>
      <c r="X20" s="63"/>
      <c r="Y20" s="63"/>
    </row>
    <row r="21" spans="4:43" x14ac:dyDescent="0.25">
      <c r="E21" s="29" t="s">
        <v>425</v>
      </c>
      <c r="AA21" t="s">
        <v>426</v>
      </c>
    </row>
    <row r="22" spans="4:43" x14ac:dyDescent="0.25">
      <c r="F22" s="23" t="s">
        <v>175</v>
      </c>
      <c r="G22" s="23" t="s">
        <v>167</v>
      </c>
      <c r="H22" s="107">
        <f>'General inputs'!H30</f>
        <v>0.30508437792432874</v>
      </c>
      <c r="AQ22" s="3"/>
    </row>
    <row r="23" spans="4:43" x14ac:dyDescent="0.25">
      <c r="F23" t="s">
        <v>177</v>
      </c>
      <c r="G23" t="s">
        <v>167</v>
      </c>
      <c r="H23" s="25">
        <f>'General inputs'!H31</f>
        <v>0.44780257301891147</v>
      </c>
      <c r="AQ23" s="3"/>
    </row>
    <row r="24" spans="4:43" x14ac:dyDescent="0.25">
      <c r="F24" t="s">
        <v>178</v>
      </c>
      <c r="G24" t="s">
        <v>167</v>
      </c>
      <c r="H24" s="25">
        <f>'General inputs'!H32</f>
        <v>0.19276050688918686</v>
      </c>
      <c r="AQ24" s="3"/>
    </row>
    <row r="25" spans="4:43" x14ac:dyDescent="0.25">
      <c r="F25" s="37" t="s">
        <v>179</v>
      </c>
      <c r="G25" s="37" t="s">
        <v>167</v>
      </c>
      <c r="H25" s="141">
        <f>'General inputs'!H33</f>
        <v>8.4660626570948555E-2</v>
      </c>
      <c r="AQ25" s="3"/>
    </row>
    <row r="27" spans="4:43" x14ac:dyDescent="0.25">
      <c r="E27" s="32" t="s">
        <v>427</v>
      </c>
      <c r="I27" t="s">
        <v>154</v>
      </c>
      <c r="AA27" t="s">
        <v>428</v>
      </c>
      <c r="AQ27" s="3"/>
    </row>
    <row r="28" spans="4:43" x14ac:dyDescent="0.25">
      <c r="E28" s="29" t="s">
        <v>429</v>
      </c>
    </row>
    <row r="29" spans="4:43" x14ac:dyDescent="0.25">
      <c r="E29" s="29" t="s">
        <v>430</v>
      </c>
    </row>
    <row r="30" spans="4:43" x14ac:dyDescent="0.25">
      <c r="F30" s="23" t="s">
        <v>175</v>
      </c>
      <c r="G30" s="23" t="s">
        <v>176</v>
      </c>
      <c r="H30" s="23"/>
      <c r="I30" s="23"/>
      <c r="J30" s="144">
        <f>'Fixed inputs'!J46</f>
        <v>1</v>
      </c>
      <c r="K30" s="144">
        <f>'Fixed inputs'!K46</f>
        <v>1</v>
      </c>
      <c r="L30" s="144">
        <f>'Fixed inputs'!L46</f>
        <v>1</v>
      </c>
      <c r="M30" s="144">
        <f>'Fixed inputs'!M46</f>
        <v>1</v>
      </c>
      <c r="N30" s="144">
        <f>'Fixed inputs'!N46</f>
        <v>1</v>
      </c>
      <c r="O30" s="144">
        <f>'Fixed inputs'!O46</f>
        <v>0</v>
      </c>
      <c r="P30" s="144">
        <f>'Fixed inputs'!P46</f>
        <v>0</v>
      </c>
      <c r="Q30" s="144">
        <f>'Fixed inputs'!Q46</f>
        <v>1</v>
      </c>
      <c r="R30" s="144">
        <f>'Fixed inputs'!R46</f>
        <v>0</v>
      </c>
      <c r="S30" s="144">
        <f>'Fixed inputs'!S46</f>
        <v>0</v>
      </c>
      <c r="T30" s="144">
        <f>'Fixed inputs'!T46</f>
        <v>0</v>
      </c>
      <c r="U30" s="144">
        <f>'Fixed inputs'!U46</f>
        <v>0</v>
      </c>
      <c r="V30" s="144">
        <f>'Fixed inputs'!V46</f>
        <v>0</v>
      </c>
      <c r="W30" s="144">
        <f>'Fixed inputs'!W46</f>
        <v>0</v>
      </c>
      <c r="X30" s="144">
        <f>'Fixed inputs'!X46</f>
        <v>0</v>
      </c>
      <c r="Y30" s="144">
        <f>'Fixed inputs'!Y46</f>
        <v>0</v>
      </c>
      <c r="AQ30" s="3"/>
    </row>
    <row r="31" spans="4:43" x14ac:dyDescent="0.25">
      <c r="F31" t="s">
        <v>177</v>
      </c>
      <c r="G31" t="s">
        <v>176</v>
      </c>
      <c r="J31" s="137">
        <f>'Fixed inputs'!J47</f>
        <v>1</v>
      </c>
      <c r="K31" s="137">
        <f>'Fixed inputs'!K47</f>
        <v>1</v>
      </c>
      <c r="L31" s="137">
        <f>'Fixed inputs'!L47</f>
        <v>1</v>
      </c>
      <c r="M31" s="137">
        <f>'Fixed inputs'!M47</f>
        <v>1</v>
      </c>
      <c r="N31" s="137">
        <f>'Fixed inputs'!N47</f>
        <v>1</v>
      </c>
      <c r="O31" s="137">
        <f>'Fixed inputs'!O47</f>
        <v>0</v>
      </c>
      <c r="P31" s="137">
        <f>'Fixed inputs'!P47</f>
        <v>0</v>
      </c>
      <c r="Q31" s="137">
        <f>'Fixed inputs'!Q47</f>
        <v>1</v>
      </c>
      <c r="R31" s="137">
        <f>'Fixed inputs'!R47</f>
        <v>0</v>
      </c>
      <c r="S31" s="137">
        <f>'Fixed inputs'!S47</f>
        <v>0</v>
      </c>
      <c r="T31" s="137">
        <f>'Fixed inputs'!T47</f>
        <v>0</v>
      </c>
      <c r="U31" s="137">
        <f>'Fixed inputs'!U47</f>
        <v>0</v>
      </c>
      <c r="V31" s="137">
        <f>'Fixed inputs'!V47</f>
        <v>0</v>
      </c>
      <c r="W31" s="137">
        <f>'Fixed inputs'!W47</f>
        <v>0</v>
      </c>
      <c r="X31" s="137">
        <f>'Fixed inputs'!X47</f>
        <v>0</v>
      </c>
      <c r="Y31" s="137">
        <f>'Fixed inputs'!Y47</f>
        <v>0</v>
      </c>
      <c r="AQ31" s="3"/>
    </row>
    <row r="32" spans="4:43" x14ac:dyDescent="0.25">
      <c r="F32" t="s">
        <v>178</v>
      </c>
      <c r="G32" t="s">
        <v>176</v>
      </c>
      <c r="J32" s="137">
        <f>'Fixed inputs'!J48</f>
        <v>0</v>
      </c>
      <c r="K32" s="137">
        <f>'Fixed inputs'!K48</f>
        <v>0</v>
      </c>
      <c r="L32" s="137">
        <f>'Fixed inputs'!L48</f>
        <v>0</v>
      </c>
      <c r="M32" s="137">
        <f>'Fixed inputs'!M48</f>
        <v>0</v>
      </c>
      <c r="N32" s="137">
        <f>'Fixed inputs'!N48</f>
        <v>0</v>
      </c>
      <c r="O32" s="137">
        <f>'Fixed inputs'!O48</f>
        <v>1</v>
      </c>
      <c r="P32" s="137">
        <f>'Fixed inputs'!P48</f>
        <v>0</v>
      </c>
      <c r="Q32" s="137">
        <f>'Fixed inputs'!Q48</f>
        <v>0</v>
      </c>
      <c r="R32" s="137">
        <f>'Fixed inputs'!R48</f>
        <v>0</v>
      </c>
      <c r="S32" s="137">
        <f>'Fixed inputs'!S48</f>
        <v>0</v>
      </c>
      <c r="T32" s="137">
        <f>'Fixed inputs'!T48</f>
        <v>0</v>
      </c>
      <c r="U32" s="137">
        <f>'Fixed inputs'!U48</f>
        <v>0</v>
      </c>
      <c r="V32" s="137">
        <f>'Fixed inputs'!V48</f>
        <v>0</v>
      </c>
      <c r="W32" s="137">
        <f>'Fixed inputs'!W48</f>
        <v>0</v>
      </c>
      <c r="X32" s="137">
        <f>'Fixed inputs'!X48</f>
        <v>0</v>
      </c>
      <c r="Y32" s="137">
        <f>'Fixed inputs'!Y48</f>
        <v>0</v>
      </c>
      <c r="AQ32" s="3"/>
    </row>
    <row r="33" spans="4:43" x14ac:dyDescent="0.25">
      <c r="F33" s="37" t="s">
        <v>179</v>
      </c>
      <c r="G33" s="37" t="s">
        <v>176</v>
      </c>
      <c r="H33" s="37"/>
      <c r="I33" s="37"/>
      <c r="J33" s="138">
        <f>'Fixed inputs'!J49</f>
        <v>0</v>
      </c>
      <c r="K33" s="138">
        <f>'Fixed inputs'!K49</f>
        <v>0</v>
      </c>
      <c r="L33" s="138">
        <f>'Fixed inputs'!L49</f>
        <v>0</v>
      </c>
      <c r="M33" s="138">
        <f>'Fixed inputs'!M49</f>
        <v>0</v>
      </c>
      <c r="N33" s="138">
        <f>'Fixed inputs'!N49</f>
        <v>0</v>
      </c>
      <c r="O33" s="138">
        <f>'Fixed inputs'!O49</f>
        <v>0</v>
      </c>
      <c r="P33" s="138">
        <f>'Fixed inputs'!P49</f>
        <v>1</v>
      </c>
      <c r="Q33" s="138">
        <f>'Fixed inputs'!Q49</f>
        <v>0</v>
      </c>
      <c r="R33" s="138">
        <f>'Fixed inputs'!R49</f>
        <v>0</v>
      </c>
      <c r="S33" s="138">
        <f>'Fixed inputs'!S49</f>
        <v>0</v>
      </c>
      <c r="T33" s="138">
        <f>'Fixed inputs'!T49</f>
        <v>0</v>
      </c>
      <c r="U33" s="138">
        <f>'Fixed inputs'!U49</f>
        <v>0</v>
      </c>
      <c r="V33" s="138">
        <f>'Fixed inputs'!V49</f>
        <v>0</v>
      </c>
      <c r="W33" s="138">
        <f>'Fixed inputs'!W49</f>
        <v>0</v>
      </c>
      <c r="X33" s="138">
        <f>'Fixed inputs'!X49</f>
        <v>0</v>
      </c>
      <c r="Y33" s="138">
        <f>'Fixed inputs'!Y49</f>
        <v>0</v>
      </c>
      <c r="AQ33" s="3"/>
    </row>
    <row r="34" spans="4:43" x14ac:dyDescent="0.25">
      <c r="F34" s="28" t="s">
        <v>431</v>
      </c>
      <c r="G34" s="28" t="s">
        <v>167</v>
      </c>
      <c r="J34" s="145">
        <f t="shared" ref="J34:Y34" si="0">J30 * $H$22</f>
        <v>0.30508437792432874</v>
      </c>
      <c r="K34" s="145">
        <f t="shared" si="0"/>
        <v>0.30508437792432874</v>
      </c>
      <c r="L34" s="145">
        <f t="shared" si="0"/>
        <v>0.30508437792432874</v>
      </c>
      <c r="M34" s="145">
        <f t="shared" si="0"/>
        <v>0.30508437792432874</v>
      </c>
      <c r="N34" s="145">
        <f t="shared" si="0"/>
        <v>0.30508437792432874</v>
      </c>
      <c r="O34" s="145">
        <f t="shared" si="0"/>
        <v>0</v>
      </c>
      <c r="P34" s="145">
        <f t="shared" si="0"/>
        <v>0</v>
      </c>
      <c r="Q34" s="145">
        <f t="shared" si="0"/>
        <v>0.30508437792432874</v>
      </c>
      <c r="R34" s="145">
        <f t="shared" si="0"/>
        <v>0</v>
      </c>
      <c r="S34" s="145">
        <f t="shared" si="0"/>
        <v>0</v>
      </c>
      <c r="T34" s="145">
        <f t="shared" si="0"/>
        <v>0</v>
      </c>
      <c r="U34" s="145">
        <f t="shared" si="0"/>
        <v>0</v>
      </c>
      <c r="V34" s="145">
        <f t="shared" si="0"/>
        <v>0</v>
      </c>
      <c r="W34" s="145">
        <f t="shared" si="0"/>
        <v>0</v>
      </c>
      <c r="X34" s="145">
        <f t="shared" si="0"/>
        <v>0</v>
      </c>
      <c r="Y34" s="145">
        <f t="shared" si="0"/>
        <v>0</v>
      </c>
      <c r="AQ34" s="3"/>
    </row>
    <row r="35" spans="4:43" x14ac:dyDescent="0.25">
      <c r="F35" s="28" t="s">
        <v>432</v>
      </c>
      <c r="G35" s="28" t="s">
        <v>167</v>
      </c>
      <c r="J35" s="145">
        <f t="shared" ref="J35:Y35" si="1">SUMPRODUCT(J31:J33,$H$23:$H$25)</f>
        <v>0.44780257301891147</v>
      </c>
      <c r="K35" s="145">
        <f t="shared" si="1"/>
        <v>0.44780257301891147</v>
      </c>
      <c r="L35" s="145">
        <f t="shared" si="1"/>
        <v>0.44780257301891147</v>
      </c>
      <c r="M35" s="145">
        <f t="shared" si="1"/>
        <v>0.44780257301891147</v>
      </c>
      <c r="N35" s="145">
        <f t="shared" si="1"/>
        <v>0.44780257301891147</v>
      </c>
      <c r="O35" s="145">
        <f t="shared" si="1"/>
        <v>0.19276050688918686</v>
      </c>
      <c r="P35" s="145">
        <f t="shared" si="1"/>
        <v>8.4660626570948555E-2</v>
      </c>
      <c r="Q35" s="145">
        <f t="shared" si="1"/>
        <v>0.44780257301891147</v>
      </c>
      <c r="R35" s="145">
        <f t="shared" si="1"/>
        <v>0</v>
      </c>
      <c r="S35" s="145">
        <f t="shared" si="1"/>
        <v>0</v>
      </c>
      <c r="T35" s="145">
        <f t="shared" si="1"/>
        <v>0</v>
      </c>
      <c r="U35" s="145">
        <f t="shared" si="1"/>
        <v>0</v>
      </c>
      <c r="V35" s="145">
        <f t="shared" si="1"/>
        <v>0</v>
      </c>
      <c r="W35" s="145">
        <f t="shared" si="1"/>
        <v>0</v>
      </c>
      <c r="X35" s="145">
        <f t="shared" si="1"/>
        <v>0</v>
      </c>
      <c r="Y35" s="145">
        <f t="shared" si="1"/>
        <v>0</v>
      </c>
      <c r="AQ35" s="3"/>
    </row>
    <row r="36" spans="4:43" x14ac:dyDescent="0.25">
      <c r="D36" s="32"/>
      <c r="AQ36" s="3"/>
    </row>
    <row r="37" spans="4:43" x14ac:dyDescent="0.25">
      <c r="E37" s="32" t="s">
        <v>433</v>
      </c>
      <c r="I37" t="s">
        <v>154</v>
      </c>
      <c r="AA37" t="s">
        <v>428</v>
      </c>
      <c r="AQ37" s="3"/>
    </row>
    <row r="38" spans="4:43" x14ac:dyDescent="0.25">
      <c r="E38" s="29" t="s">
        <v>434</v>
      </c>
    </row>
    <row r="39" spans="4:43" x14ac:dyDescent="0.25">
      <c r="F39" s="28" t="s">
        <v>435</v>
      </c>
      <c r="G39" s="28" t="s">
        <v>209</v>
      </c>
      <c r="J39" s="146" t="b">
        <f>'Fixed inputs'!J105</f>
        <v>0</v>
      </c>
      <c r="K39" s="146" t="b">
        <f>'Fixed inputs'!K105</f>
        <v>0</v>
      </c>
      <c r="L39" s="146" t="b">
        <f>'Fixed inputs'!L105</f>
        <v>0</v>
      </c>
      <c r="M39" s="146" t="b">
        <f>'Fixed inputs'!M105</f>
        <v>0</v>
      </c>
      <c r="N39" s="146" t="b">
        <f>'Fixed inputs'!N105</f>
        <v>0</v>
      </c>
      <c r="O39" s="146" t="b">
        <f>'Fixed inputs'!O105</f>
        <v>0</v>
      </c>
      <c r="P39" s="146" t="b">
        <f>'Fixed inputs'!P105</f>
        <v>0</v>
      </c>
      <c r="Q39" s="146" t="b">
        <f>'Fixed inputs'!Q105</f>
        <v>0</v>
      </c>
      <c r="R39" s="146" t="b">
        <f>'Fixed inputs'!R105</f>
        <v>1</v>
      </c>
      <c r="S39" s="146" t="b">
        <f>'Fixed inputs'!S105</f>
        <v>1</v>
      </c>
      <c r="T39" s="146" t="b">
        <f>'Fixed inputs'!T105</f>
        <v>1</v>
      </c>
      <c r="U39" s="146" t="b">
        <f>'Fixed inputs'!U105</f>
        <v>1</v>
      </c>
      <c r="V39" s="146" t="b">
        <f>'Fixed inputs'!V105</f>
        <v>1</v>
      </c>
      <c r="W39" s="146" t="b">
        <f>'Fixed inputs'!W105</f>
        <v>1</v>
      </c>
      <c r="X39" s="146" t="b">
        <f>'Fixed inputs'!X105</f>
        <v>1</v>
      </c>
      <c r="Y39" s="146" t="b">
        <f>'Fixed inputs'!Y105</f>
        <v>1</v>
      </c>
      <c r="AQ39" s="3"/>
    </row>
    <row r="40" spans="4:43" x14ac:dyDescent="0.25">
      <c r="F40" s="28" t="s">
        <v>436</v>
      </c>
      <c r="G40" s="28" t="s">
        <v>209</v>
      </c>
      <c r="J40" s="146" t="b">
        <f>'Fixed inputs'!J109</f>
        <v>0</v>
      </c>
      <c r="K40" s="146" t="b">
        <f>'Fixed inputs'!K109</f>
        <v>0</v>
      </c>
      <c r="L40" s="146" t="b">
        <f>'Fixed inputs'!L109</f>
        <v>0</v>
      </c>
      <c r="M40" s="146" t="b">
        <f>'Fixed inputs'!M109</f>
        <v>0</v>
      </c>
      <c r="N40" s="146" t="b">
        <f>'Fixed inputs'!N109</f>
        <v>0</v>
      </c>
      <c r="O40" s="146" t="b">
        <f>'Fixed inputs'!O109</f>
        <v>0</v>
      </c>
      <c r="P40" s="146" t="b">
        <f>'Fixed inputs'!P109</f>
        <v>0</v>
      </c>
      <c r="Q40" s="146" t="b">
        <f>'Fixed inputs'!Q109</f>
        <v>0</v>
      </c>
      <c r="R40" s="146" t="b">
        <f>'Fixed inputs'!R109</f>
        <v>1</v>
      </c>
      <c r="S40" s="146" t="b">
        <f>'Fixed inputs'!S109</f>
        <v>1</v>
      </c>
      <c r="T40" s="146" t="b">
        <f>'Fixed inputs'!T109</f>
        <v>1</v>
      </c>
      <c r="U40" s="146" t="b">
        <f>'Fixed inputs'!U109</f>
        <v>1</v>
      </c>
      <c r="V40" s="146" t="b">
        <f>'Fixed inputs'!V109</f>
        <v>1</v>
      </c>
      <c r="W40" s="146" t="b">
        <f>'Fixed inputs'!W109</f>
        <v>1</v>
      </c>
      <c r="X40" s="146" t="b">
        <f>'Fixed inputs'!X109</f>
        <v>1</v>
      </c>
      <c r="Y40" s="146" t="b">
        <f>'Fixed inputs'!Y109</f>
        <v>1</v>
      </c>
      <c r="AQ40" s="3"/>
    </row>
    <row r="41" spans="4:43" x14ac:dyDescent="0.25">
      <c r="F41" s="28" t="s">
        <v>437</v>
      </c>
      <c r="G41" s="28" t="s">
        <v>209</v>
      </c>
      <c r="J41" s="146" t="b">
        <f>'Fixed inputs'!J113</f>
        <v>0</v>
      </c>
      <c r="K41" s="146" t="b">
        <f>'Fixed inputs'!K113</f>
        <v>0</v>
      </c>
      <c r="L41" s="146" t="b">
        <f>'Fixed inputs'!L113</f>
        <v>0</v>
      </c>
      <c r="M41" s="146" t="b">
        <f>'Fixed inputs'!M113</f>
        <v>0</v>
      </c>
      <c r="N41" s="146" t="b">
        <f>'Fixed inputs'!N113</f>
        <v>0</v>
      </c>
      <c r="O41" s="146" t="b">
        <f>'Fixed inputs'!O113</f>
        <v>0</v>
      </c>
      <c r="P41" s="146" t="b">
        <f>'Fixed inputs'!P113</f>
        <v>0</v>
      </c>
      <c r="Q41" s="146" t="b">
        <f>'Fixed inputs'!Q113</f>
        <v>0</v>
      </c>
      <c r="R41" s="146" t="b">
        <f>'Fixed inputs'!R113</f>
        <v>1</v>
      </c>
      <c r="S41" s="146" t="b">
        <f>'Fixed inputs'!S113</f>
        <v>1</v>
      </c>
      <c r="T41" s="146" t="b">
        <f>'Fixed inputs'!T113</f>
        <v>1</v>
      </c>
      <c r="U41" s="146" t="b">
        <f>'Fixed inputs'!U113</f>
        <v>1</v>
      </c>
      <c r="V41" s="146" t="b">
        <f>'Fixed inputs'!V113</f>
        <v>1</v>
      </c>
      <c r="W41" s="146" t="b">
        <f>'Fixed inputs'!W113</f>
        <v>1</v>
      </c>
      <c r="X41" s="146" t="b">
        <f>'Fixed inputs'!X113</f>
        <v>1</v>
      </c>
      <c r="Y41" s="146" t="b">
        <f>'Fixed inputs'!Y113</f>
        <v>1</v>
      </c>
      <c r="AQ41" s="3"/>
    </row>
    <row r="42" spans="4:43" x14ac:dyDescent="0.25">
      <c r="F42" s="28" t="s">
        <v>438</v>
      </c>
      <c r="G42" s="28" t="s">
        <v>209</v>
      </c>
      <c r="J42" s="146" t="b">
        <f>'Fixed inputs'!J117</f>
        <v>0</v>
      </c>
      <c r="K42" s="146" t="b">
        <f>'Fixed inputs'!K117</f>
        <v>0</v>
      </c>
      <c r="L42" s="146" t="b">
        <f>'Fixed inputs'!L117</f>
        <v>0</v>
      </c>
      <c r="M42" s="146" t="b">
        <f>'Fixed inputs'!M117</f>
        <v>0</v>
      </c>
      <c r="N42" s="146" t="b">
        <f>'Fixed inputs'!N117</f>
        <v>0</v>
      </c>
      <c r="O42" s="146" t="b">
        <f>'Fixed inputs'!O117</f>
        <v>0</v>
      </c>
      <c r="P42" s="146" t="b">
        <f>'Fixed inputs'!P117</f>
        <v>0</v>
      </c>
      <c r="Q42" s="146" t="b">
        <f>'Fixed inputs'!Q117</f>
        <v>0</v>
      </c>
      <c r="R42" s="146" t="b">
        <f>'Fixed inputs'!R117</f>
        <v>1</v>
      </c>
      <c r="S42" s="146" t="b">
        <f>'Fixed inputs'!S117</f>
        <v>1</v>
      </c>
      <c r="T42" s="146" t="b">
        <f>'Fixed inputs'!T117</f>
        <v>1</v>
      </c>
      <c r="U42" s="146" t="b">
        <f>'Fixed inputs'!U117</f>
        <v>1</v>
      </c>
      <c r="V42" s="146" t="b">
        <f>'Fixed inputs'!V117</f>
        <v>1</v>
      </c>
      <c r="W42" s="146" t="b">
        <f>'Fixed inputs'!W117</f>
        <v>1</v>
      </c>
      <c r="X42" s="146" t="b">
        <f>'Fixed inputs'!X117</f>
        <v>1</v>
      </c>
      <c r="Y42" s="146" t="b">
        <f>'Fixed inputs'!Y117</f>
        <v>1</v>
      </c>
      <c r="AQ42" s="3"/>
    </row>
    <row r="43" spans="4:43" x14ac:dyDescent="0.25">
      <c r="F43" s="28" t="s">
        <v>439</v>
      </c>
      <c r="G43" s="28" t="s">
        <v>209</v>
      </c>
      <c r="J43" s="146" t="b">
        <f>'Fixed inputs'!J121</f>
        <v>0</v>
      </c>
      <c r="K43" s="146" t="b">
        <f>'Fixed inputs'!K121</f>
        <v>0</v>
      </c>
      <c r="L43" s="146" t="b">
        <f>'Fixed inputs'!L121</f>
        <v>0</v>
      </c>
      <c r="M43" s="146" t="b">
        <f>'Fixed inputs'!M121</f>
        <v>0</v>
      </c>
      <c r="N43" s="146" t="b">
        <f>'Fixed inputs'!N121</f>
        <v>0</v>
      </c>
      <c r="O43" s="146" t="b">
        <f>'Fixed inputs'!O121</f>
        <v>0</v>
      </c>
      <c r="P43" s="146" t="b">
        <f>'Fixed inputs'!P121</f>
        <v>0</v>
      </c>
      <c r="Q43" s="146" t="b">
        <f>'Fixed inputs'!Q121</f>
        <v>0</v>
      </c>
      <c r="R43" s="146" t="b">
        <f>'Fixed inputs'!R121</f>
        <v>1</v>
      </c>
      <c r="S43" s="146" t="b">
        <f>'Fixed inputs'!S121</f>
        <v>1</v>
      </c>
      <c r="T43" s="146" t="b">
        <f>'Fixed inputs'!T121</f>
        <v>1</v>
      </c>
      <c r="U43" s="146" t="b">
        <f>'Fixed inputs'!U121</f>
        <v>1</v>
      </c>
      <c r="V43" s="146" t="b">
        <f>'Fixed inputs'!V121</f>
        <v>1</v>
      </c>
      <c r="W43" s="146" t="b">
        <f>'Fixed inputs'!W121</f>
        <v>1</v>
      </c>
      <c r="X43" s="146" t="b">
        <f>'Fixed inputs'!X121</f>
        <v>1</v>
      </c>
      <c r="Y43" s="146" t="b">
        <f>'Fixed inputs'!Y121</f>
        <v>1</v>
      </c>
      <c r="AQ43" s="3"/>
    </row>
    <row r="44" spans="4:43" x14ac:dyDescent="0.25">
      <c r="D44" s="32"/>
      <c r="AQ44" s="3"/>
    </row>
    <row r="45" spans="4:43" x14ac:dyDescent="0.25">
      <c r="F45" s="28" t="s">
        <v>440</v>
      </c>
      <c r="G45" s="28" t="s">
        <v>167</v>
      </c>
      <c r="J45" s="25">
        <f>'Fixed inputs'!J106</f>
        <v>0</v>
      </c>
      <c r="K45" s="25">
        <f>'Fixed inputs'!K106</f>
        <v>0</v>
      </c>
      <c r="L45" s="25">
        <f>'Fixed inputs'!L106</f>
        <v>0</v>
      </c>
      <c r="M45" s="25">
        <f>'Fixed inputs'!M106</f>
        <v>0</v>
      </c>
      <c r="N45" s="25">
        <f>'Fixed inputs'!N106</f>
        <v>0</v>
      </c>
      <c r="O45" s="25">
        <f>'Fixed inputs'!O106</f>
        <v>0</v>
      </c>
      <c r="P45" s="25">
        <f>'Fixed inputs'!P106</f>
        <v>0</v>
      </c>
      <c r="Q45" s="25">
        <f>'Fixed inputs'!Q106</f>
        <v>0</v>
      </c>
      <c r="R45" s="25">
        <f>'Fixed inputs'!R106</f>
        <v>0</v>
      </c>
      <c r="S45" s="25">
        <f>'Fixed inputs'!S106</f>
        <v>0</v>
      </c>
      <c r="T45" s="25">
        <f>'Fixed inputs'!T106</f>
        <v>0</v>
      </c>
      <c r="U45" s="25">
        <f>'Fixed inputs'!U106</f>
        <v>0</v>
      </c>
      <c r="V45" s="25">
        <f>'Fixed inputs'!V106</f>
        <v>0</v>
      </c>
      <c r="W45" s="25">
        <f>'Fixed inputs'!W106</f>
        <v>0</v>
      </c>
      <c r="X45" s="25">
        <f>'Fixed inputs'!X106</f>
        <v>0</v>
      </c>
      <c r="Y45" s="25">
        <f>'Fixed inputs'!Y106</f>
        <v>0</v>
      </c>
      <c r="AQ45" s="3"/>
    </row>
    <row r="46" spans="4:43" x14ac:dyDescent="0.25">
      <c r="F46" s="28" t="s">
        <v>441</v>
      </c>
      <c r="G46" s="28" t="s">
        <v>167</v>
      </c>
      <c r="J46" s="25">
        <f>'Fixed inputs'!J110</f>
        <v>0</v>
      </c>
      <c r="K46" s="25">
        <f>'Fixed inputs'!K110</f>
        <v>0</v>
      </c>
      <c r="L46" s="25">
        <f>'Fixed inputs'!L110</f>
        <v>0</v>
      </c>
      <c r="M46" s="25">
        <f>'Fixed inputs'!M110</f>
        <v>0</v>
      </c>
      <c r="N46" s="25">
        <f>'Fixed inputs'!N110</f>
        <v>0</v>
      </c>
      <c r="O46" s="25">
        <f>'Fixed inputs'!O110</f>
        <v>0</v>
      </c>
      <c r="P46" s="25">
        <f>'Fixed inputs'!P110</f>
        <v>0</v>
      </c>
      <c r="Q46" s="25">
        <f>'Fixed inputs'!Q110</f>
        <v>0</v>
      </c>
      <c r="R46" s="25">
        <f>'Fixed inputs'!R110</f>
        <v>1</v>
      </c>
      <c r="S46" s="25">
        <f>'Fixed inputs'!S110</f>
        <v>1</v>
      </c>
      <c r="T46" s="25">
        <f>'Fixed inputs'!T110</f>
        <v>1</v>
      </c>
      <c r="U46" s="25">
        <f>'Fixed inputs'!U110</f>
        <v>1</v>
      </c>
      <c r="V46" s="25">
        <f>'Fixed inputs'!V110</f>
        <v>1</v>
      </c>
      <c r="W46" s="25">
        <f>'Fixed inputs'!W110</f>
        <v>1</v>
      </c>
      <c r="X46" s="25">
        <f>'Fixed inputs'!X110</f>
        <v>1</v>
      </c>
      <c r="Y46" s="25">
        <f>'Fixed inputs'!Y110</f>
        <v>1</v>
      </c>
      <c r="AQ46" s="3"/>
    </row>
    <row r="47" spans="4:43" x14ac:dyDescent="0.25">
      <c r="F47" s="28" t="s">
        <v>442</v>
      </c>
      <c r="G47" s="28" t="s">
        <v>167</v>
      </c>
      <c r="J47" s="25">
        <f>'Fixed inputs'!J114</f>
        <v>0</v>
      </c>
      <c r="K47" s="25">
        <f>'Fixed inputs'!K114</f>
        <v>0</v>
      </c>
      <c r="L47" s="25">
        <f>'Fixed inputs'!L114</f>
        <v>0</v>
      </c>
      <c r="M47" s="25">
        <f>'Fixed inputs'!M114</f>
        <v>0</v>
      </c>
      <c r="N47" s="25">
        <f>'Fixed inputs'!N114</f>
        <v>0</v>
      </c>
      <c r="O47" s="25">
        <f>'Fixed inputs'!O114</f>
        <v>0</v>
      </c>
      <c r="P47" s="25">
        <f>'Fixed inputs'!P114</f>
        <v>0</v>
      </c>
      <c r="Q47" s="25">
        <f>'Fixed inputs'!Q114</f>
        <v>0</v>
      </c>
      <c r="R47" s="25">
        <f>'Fixed inputs'!R114</f>
        <v>0</v>
      </c>
      <c r="S47" s="25">
        <f>'Fixed inputs'!S114</f>
        <v>0</v>
      </c>
      <c r="T47" s="25">
        <f>'Fixed inputs'!T114</f>
        <v>0</v>
      </c>
      <c r="U47" s="25">
        <f>'Fixed inputs'!U114</f>
        <v>0</v>
      </c>
      <c r="V47" s="25">
        <f>'Fixed inputs'!V114</f>
        <v>0</v>
      </c>
      <c r="W47" s="25">
        <f>'Fixed inputs'!W114</f>
        <v>0</v>
      </c>
      <c r="X47" s="25">
        <f>'Fixed inputs'!X114</f>
        <v>0</v>
      </c>
      <c r="Y47" s="25">
        <f>'Fixed inputs'!Y114</f>
        <v>0</v>
      </c>
      <c r="AQ47" s="3"/>
    </row>
    <row r="48" spans="4:43" x14ac:dyDescent="0.25">
      <c r="F48" s="28" t="s">
        <v>443</v>
      </c>
      <c r="G48" s="28" t="s">
        <v>167</v>
      </c>
      <c r="J48" s="25">
        <f>'Fixed inputs'!J118</f>
        <v>0</v>
      </c>
      <c r="K48" s="25">
        <f>'Fixed inputs'!K118</f>
        <v>0</v>
      </c>
      <c r="L48" s="25">
        <f>'Fixed inputs'!L118</f>
        <v>0</v>
      </c>
      <c r="M48" s="25">
        <f>'Fixed inputs'!M118</f>
        <v>0</v>
      </c>
      <c r="N48" s="25">
        <f>'Fixed inputs'!N118</f>
        <v>0</v>
      </c>
      <c r="O48" s="25">
        <f>'Fixed inputs'!O118</f>
        <v>0</v>
      </c>
      <c r="P48" s="25">
        <f>'Fixed inputs'!P118</f>
        <v>0</v>
      </c>
      <c r="Q48" s="25">
        <f>'Fixed inputs'!Q118</f>
        <v>0</v>
      </c>
      <c r="R48" s="25">
        <f>'Fixed inputs'!R118</f>
        <v>0</v>
      </c>
      <c r="S48" s="25">
        <f>'Fixed inputs'!S118</f>
        <v>0</v>
      </c>
      <c r="T48" s="25">
        <f>'Fixed inputs'!T118</f>
        <v>0</v>
      </c>
      <c r="U48" s="25">
        <f>'Fixed inputs'!U118</f>
        <v>0</v>
      </c>
      <c r="V48" s="25">
        <f>'Fixed inputs'!V118</f>
        <v>0</v>
      </c>
      <c r="W48" s="25">
        <f>'Fixed inputs'!W118</f>
        <v>0</v>
      </c>
      <c r="X48" s="25">
        <f>'Fixed inputs'!X118</f>
        <v>0</v>
      </c>
      <c r="Y48" s="25">
        <f>'Fixed inputs'!Y118</f>
        <v>0</v>
      </c>
      <c r="AQ48" s="3"/>
    </row>
    <row r="49" spans="2:43" x14ac:dyDescent="0.25">
      <c r="F49" s="28" t="s">
        <v>444</v>
      </c>
      <c r="G49" s="28" t="s">
        <v>167</v>
      </c>
      <c r="J49" s="25">
        <f>'Fixed inputs'!J122</f>
        <v>0</v>
      </c>
      <c r="K49" s="25">
        <f>'Fixed inputs'!K122</f>
        <v>0</v>
      </c>
      <c r="L49" s="25">
        <f>'Fixed inputs'!L122</f>
        <v>0</v>
      </c>
      <c r="M49" s="25">
        <f>'Fixed inputs'!M122</f>
        <v>0</v>
      </c>
      <c r="N49" s="25">
        <f>'Fixed inputs'!N122</f>
        <v>0</v>
      </c>
      <c r="O49" s="25">
        <f>'Fixed inputs'!O122</f>
        <v>0</v>
      </c>
      <c r="P49" s="25">
        <f>'Fixed inputs'!P122</f>
        <v>0</v>
      </c>
      <c r="Q49" s="25">
        <f>'Fixed inputs'!Q122</f>
        <v>0</v>
      </c>
      <c r="R49" s="25">
        <f>'Fixed inputs'!R122</f>
        <v>0</v>
      </c>
      <c r="S49" s="25">
        <f>'Fixed inputs'!S122</f>
        <v>0</v>
      </c>
      <c r="T49" s="25">
        <f>'Fixed inputs'!T122</f>
        <v>0</v>
      </c>
      <c r="U49" s="25">
        <f>'Fixed inputs'!U122</f>
        <v>0</v>
      </c>
      <c r="V49" s="25">
        <f>'Fixed inputs'!V122</f>
        <v>0</v>
      </c>
      <c r="W49" s="25">
        <f>'Fixed inputs'!W122</f>
        <v>0</v>
      </c>
      <c r="X49" s="25">
        <f>'Fixed inputs'!X122</f>
        <v>0</v>
      </c>
      <c r="Y49" s="25">
        <f>'Fixed inputs'!Y122</f>
        <v>0</v>
      </c>
      <c r="AQ49" s="3"/>
    </row>
    <row r="50" spans="2:43" x14ac:dyDescent="0.25">
      <c r="C50" s="32"/>
      <c r="AQ50" s="3"/>
    </row>
    <row r="51" spans="2:43" x14ac:dyDescent="0.25">
      <c r="B51" s="30" t="s">
        <v>445</v>
      </c>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C51" s="30"/>
      <c r="AD51" s="30"/>
      <c r="AE51" s="30"/>
      <c r="AF51" s="30"/>
      <c r="AG51" s="30"/>
      <c r="AH51" s="30"/>
      <c r="AI51" s="30"/>
      <c r="AJ51" s="30"/>
      <c r="AK51" s="30"/>
      <c r="AL51" s="30"/>
      <c r="AM51" s="30"/>
      <c r="AN51" s="30"/>
      <c r="AO51" s="30"/>
      <c r="AQ51" s="30"/>
    </row>
    <row r="52" spans="2:43" x14ac:dyDescent="0.25">
      <c r="C52" s="32"/>
      <c r="AQ52" s="3"/>
    </row>
    <row r="53" spans="2:43" x14ac:dyDescent="0.25">
      <c r="C53" s="29" t="s">
        <v>446</v>
      </c>
      <c r="AQ53" s="3"/>
    </row>
    <row r="54" spans="2:43" x14ac:dyDescent="0.25">
      <c r="C54" s="32"/>
      <c r="AQ54" s="3"/>
    </row>
    <row r="55" spans="2:43" x14ac:dyDescent="0.25">
      <c r="C55" s="31" t="str">
        <f ca="1">INDEX('Version control'!$H$34:$H$57,MATCH($A$1,'Version control'!$F$34:$F$57,0),1)&amp;"-B: Volume discounting"</f>
        <v>Section 104-B: Volume discounting</v>
      </c>
      <c r="D55" s="31"/>
      <c r="E55" s="31"/>
      <c r="F55" s="31"/>
      <c r="G55" s="31"/>
      <c r="H55" s="31"/>
      <c r="I55" s="31"/>
      <c r="J55" s="31"/>
      <c r="K55" s="31"/>
      <c r="L55" s="31"/>
      <c r="M55" s="31"/>
      <c r="N55" s="31"/>
      <c r="O55" s="31"/>
      <c r="P55" s="31"/>
      <c r="Q55" s="31"/>
      <c r="R55" s="31"/>
      <c r="S55" s="31"/>
      <c r="T55" s="31"/>
      <c r="U55" s="31"/>
      <c r="V55" s="31"/>
      <c r="W55" s="31"/>
      <c r="X55" s="31"/>
      <c r="Y55" s="31"/>
      <c r="Z55" s="31"/>
      <c r="AA55" s="31"/>
      <c r="AQ55" s="3"/>
    </row>
    <row r="56" spans="2:43" x14ac:dyDescent="0.25">
      <c r="C56" s="32"/>
      <c r="AQ56" s="3"/>
    </row>
    <row r="57" spans="2:43" x14ac:dyDescent="0.25">
      <c r="C57" s="29"/>
      <c r="E57" s="32" t="s">
        <v>156</v>
      </c>
      <c r="I57" t="s">
        <v>154</v>
      </c>
      <c r="AA57" t="s">
        <v>309</v>
      </c>
      <c r="AQ57" s="3"/>
    </row>
    <row r="58" spans="2:43" x14ac:dyDescent="0.25">
      <c r="C58" s="29"/>
      <c r="E58" s="32"/>
      <c r="AQ58" s="3"/>
    </row>
    <row r="59" spans="2:43" x14ac:dyDescent="0.25">
      <c r="F59" s="28" t="s">
        <v>447</v>
      </c>
      <c r="G59" s="28" t="s">
        <v>207</v>
      </c>
      <c r="J59" s="120">
        <f>'Inputs by customer type'!J21</f>
        <v>970871.82362676424</v>
      </c>
      <c r="K59" s="120">
        <f>'Inputs by customer type'!K21</f>
        <v>844.76303646099564</v>
      </c>
      <c r="L59" s="120">
        <f>'Inputs by customer type'!L21</f>
        <v>327000</v>
      </c>
      <c r="M59" s="120">
        <f>'Inputs by customer type'!M21</f>
        <v>29.861394683968697</v>
      </c>
      <c r="N59" s="120">
        <f>'Inputs by customer type'!N21</f>
        <v>336787.25975763035</v>
      </c>
      <c r="O59" s="120">
        <f>'Inputs by customer type'!O21</f>
        <v>26999.983315427104</v>
      </c>
      <c r="P59" s="120">
        <f>'Inputs by customer type'!P21</f>
        <v>683754.16626766091</v>
      </c>
      <c r="Q59" s="120">
        <f>'Inputs by customer type'!Q21</f>
        <v>9789.5205727051216</v>
      </c>
      <c r="R59" s="120">
        <f>'Inputs by customer type'!R21</f>
        <v>111.48905236288842</v>
      </c>
      <c r="S59" s="120">
        <f>'Inputs by customer type'!S21</f>
        <v>0</v>
      </c>
      <c r="T59" s="120">
        <f>'Inputs by customer type'!T21</f>
        <v>4546.0607835589108</v>
      </c>
      <c r="U59" s="120">
        <f>'Inputs by customer type'!U21</f>
        <v>0</v>
      </c>
      <c r="V59" s="120">
        <f>'Inputs by customer type'!V21</f>
        <v>615.06552578097023</v>
      </c>
      <c r="W59" s="120">
        <f>'Inputs by customer type'!W21</f>
        <v>0</v>
      </c>
      <c r="X59" s="120">
        <f>'Inputs by customer type'!X21</f>
        <v>229961.87994000159</v>
      </c>
      <c r="Y59" s="120">
        <f>'Inputs by customer type'!Y21</f>
        <v>0</v>
      </c>
      <c r="AQ59" s="3"/>
    </row>
    <row r="60" spans="2:43" x14ac:dyDescent="0.25">
      <c r="F60" s="28" t="s">
        <v>448</v>
      </c>
      <c r="G60" s="28" t="s">
        <v>207</v>
      </c>
      <c r="J60" s="120">
        <f>'Inputs by customer type'!J30</f>
        <v>13094.198445379177</v>
      </c>
      <c r="K60" s="120">
        <f>'Inputs by customer type'!K30</f>
        <v>0</v>
      </c>
      <c r="L60" s="120">
        <f>'Inputs by customer type'!L30</f>
        <v>453.23891000724058</v>
      </c>
      <c r="M60" s="120">
        <f>'Inputs by customer type'!M30</f>
        <v>0</v>
      </c>
      <c r="N60" s="120">
        <f>'Inputs by customer type'!N30</f>
        <v>1820.076548773663</v>
      </c>
      <c r="O60" s="120">
        <f>'Inputs by customer type'!O30</f>
        <v>0</v>
      </c>
      <c r="P60" s="120">
        <f>'Inputs by customer type'!P30</f>
        <v>0</v>
      </c>
      <c r="Q60" s="120">
        <f>'Inputs by customer type'!Q30</f>
        <v>11.434200166760402</v>
      </c>
      <c r="R60" s="120">
        <f>'Inputs by customer type'!R30</f>
        <v>1.79133780607139</v>
      </c>
      <c r="S60" s="120">
        <f>'Inputs by customer type'!S30</f>
        <v>0</v>
      </c>
      <c r="T60" s="120">
        <f>'Inputs by customer type'!T30</f>
        <v>0</v>
      </c>
      <c r="U60" s="120">
        <f>'Inputs by customer type'!U30</f>
        <v>0</v>
      </c>
      <c r="V60" s="120">
        <f>'Inputs by customer type'!V30</f>
        <v>0</v>
      </c>
      <c r="W60" s="120">
        <f>'Inputs by customer type'!W30</f>
        <v>0</v>
      </c>
      <c r="X60" s="120">
        <f>'Inputs by customer type'!X30</f>
        <v>0</v>
      </c>
      <c r="Y60" s="120">
        <f>'Inputs by customer type'!Y30</f>
        <v>0</v>
      </c>
      <c r="AQ60" s="3"/>
    </row>
    <row r="61" spans="2:43" x14ac:dyDescent="0.25">
      <c r="F61" s="28" t="s">
        <v>449</v>
      </c>
      <c r="G61" s="28" t="s">
        <v>207</v>
      </c>
      <c r="J61" s="120">
        <f>'Inputs by customer type'!J39</f>
        <v>28310.869161032697</v>
      </c>
      <c r="K61" s="120">
        <f>'Inputs by customer type'!K39</f>
        <v>0</v>
      </c>
      <c r="L61" s="120">
        <f>'Inputs by customer type'!L39</f>
        <v>2258.5058910279295</v>
      </c>
      <c r="M61" s="120">
        <f>'Inputs by customer type'!M39</f>
        <v>0</v>
      </c>
      <c r="N61" s="120">
        <f>'Inputs by customer type'!N39</f>
        <v>16531.881809701546</v>
      </c>
      <c r="O61" s="120">
        <f>'Inputs by customer type'!O39</f>
        <v>2297.3800444570861</v>
      </c>
      <c r="P61" s="120">
        <f>'Inputs by customer type'!P39</f>
        <v>9826.1069846885148</v>
      </c>
      <c r="Q61" s="120">
        <f>'Inputs by customer type'!Q39</f>
        <v>20.126192139443688</v>
      </c>
      <c r="R61" s="120">
        <f>'Inputs by customer type'!R39</f>
        <v>0</v>
      </c>
      <c r="S61" s="120">
        <f>'Inputs by customer type'!S39</f>
        <v>0</v>
      </c>
      <c r="T61" s="120">
        <f>'Inputs by customer type'!T39</f>
        <v>7.1280936788464269</v>
      </c>
      <c r="U61" s="120">
        <f>'Inputs by customer type'!U39</f>
        <v>0</v>
      </c>
      <c r="V61" s="120">
        <f>'Inputs by customer type'!V39</f>
        <v>0</v>
      </c>
      <c r="W61" s="120">
        <f>'Inputs by customer type'!W39</f>
        <v>0</v>
      </c>
      <c r="X61" s="120">
        <f>'Inputs by customer type'!X39</f>
        <v>0</v>
      </c>
      <c r="Y61" s="120">
        <f>'Inputs by customer type'!Y39</f>
        <v>0</v>
      </c>
      <c r="AQ61" s="3"/>
    </row>
    <row r="62" spans="2:43" x14ac:dyDescent="0.25">
      <c r="F62" s="28" t="s">
        <v>450</v>
      </c>
      <c r="G62" s="28" t="s">
        <v>167</v>
      </c>
      <c r="J62" s="111">
        <f t="shared" ref="J62:Y62" si="2">IF(J$39, J$45, J$34)</f>
        <v>0.30508437792432874</v>
      </c>
      <c r="K62" s="111">
        <f t="shared" si="2"/>
        <v>0.30508437792432874</v>
      </c>
      <c r="L62" s="111">
        <f t="shared" si="2"/>
        <v>0.30508437792432874</v>
      </c>
      <c r="M62" s="111">
        <f t="shared" si="2"/>
        <v>0.30508437792432874</v>
      </c>
      <c r="N62" s="111">
        <f t="shared" si="2"/>
        <v>0.30508437792432874</v>
      </c>
      <c r="O62" s="111">
        <f t="shared" si="2"/>
        <v>0</v>
      </c>
      <c r="P62" s="111">
        <f t="shared" si="2"/>
        <v>0</v>
      </c>
      <c r="Q62" s="111">
        <f t="shared" si="2"/>
        <v>0.30508437792432874</v>
      </c>
      <c r="R62" s="111">
        <f t="shared" si="2"/>
        <v>0</v>
      </c>
      <c r="S62" s="111">
        <f t="shared" si="2"/>
        <v>0</v>
      </c>
      <c r="T62" s="111">
        <f t="shared" si="2"/>
        <v>0</v>
      </c>
      <c r="U62" s="111">
        <f t="shared" si="2"/>
        <v>0</v>
      </c>
      <c r="V62" s="111">
        <f t="shared" si="2"/>
        <v>0</v>
      </c>
      <c r="W62" s="111">
        <f t="shared" si="2"/>
        <v>0</v>
      </c>
      <c r="X62" s="111">
        <f t="shared" si="2"/>
        <v>0</v>
      </c>
      <c r="Y62" s="111">
        <f t="shared" si="2"/>
        <v>0</v>
      </c>
      <c r="AQ62" s="3"/>
    </row>
    <row r="63" spans="2:43" x14ac:dyDescent="0.25">
      <c r="F63" s="28" t="s">
        <v>451</v>
      </c>
      <c r="G63" s="28" t="s">
        <v>167</v>
      </c>
      <c r="J63" s="111">
        <f t="shared" ref="J63:Y63" si="3">IF(J$39, J$45, J$35)</f>
        <v>0.44780257301891147</v>
      </c>
      <c r="K63" s="111">
        <f t="shared" si="3"/>
        <v>0.44780257301891147</v>
      </c>
      <c r="L63" s="111">
        <f t="shared" si="3"/>
        <v>0.44780257301891147</v>
      </c>
      <c r="M63" s="111">
        <f t="shared" si="3"/>
        <v>0.44780257301891147</v>
      </c>
      <c r="N63" s="111">
        <f t="shared" si="3"/>
        <v>0.44780257301891147</v>
      </c>
      <c r="O63" s="111">
        <f t="shared" si="3"/>
        <v>0.19276050688918686</v>
      </c>
      <c r="P63" s="111">
        <f t="shared" si="3"/>
        <v>8.4660626570948555E-2</v>
      </c>
      <c r="Q63" s="111">
        <f t="shared" si="3"/>
        <v>0.44780257301891147</v>
      </c>
      <c r="R63" s="111">
        <f t="shared" si="3"/>
        <v>0</v>
      </c>
      <c r="S63" s="111">
        <f t="shared" si="3"/>
        <v>0</v>
      </c>
      <c r="T63" s="111">
        <f t="shared" si="3"/>
        <v>0</v>
      </c>
      <c r="U63" s="111">
        <f t="shared" si="3"/>
        <v>0</v>
      </c>
      <c r="V63" s="111">
        <f t="shared" si="3"/>
        <v>0</v>
      </c>
      <c r="W63" s="111">
        <f t="shared" si="3"/>
        <v>0</v>
      </c>
      <c r="X63" s="111">
        <f t="shared" si="3"/>
        <v>0</v>
      </c>
      <c r="Y63" s="111">
        <f t="shared" si="3"/>
        <v>0</v>
      </c>
      <c r="AQ63" s="3"/>
    </row>
    <row r="64" spans="2:43" x14ac:dyDescent="0.25">
      <c r="F64" s="28" t="s">
        <v>452</v>
      </c>
      <c r="G64" s="28" t="s">
        <v>207</v>
      </c>
      <c r="J64" s="98">
        <f t="shared" ref="J64:Y64" si="4">J60 * (1 - J62)</f>
        <v>9099.3630582529586</v>
      </c>
      <c r="K64" s="98">
        <f t="shared" si="4"/>
        <v>0</v>
      </c>
      <c r="L64" s="98">
        <f t="shared" si="4"/>
        <v>314.9627990965808</v>
      </c>
      <c r="M64" s="98">
        <f t="shared" si="4"/>
        <v>0</v>
      </c>
      <c r="N64" s="98">
        <f t="shared" si="4"/>
        <v>1264.7996271163909</v>
      </c>
      <c r="O64" s="98">
        <f t="shared" si="4"/>
        <v>0</v>
      </c>
      <c r="P64" s="98">
        <f t="shared" si="4"/>
        <v>0</v>
      </c>
      <c r="Q64" s="98">
        <f t="shared" si="4"/>
        <v>7.9458043218220489</v>
      </c>
      <c r="R64" s="98">
        <f t="shared" si="4"/>
        <v>1.79133780607139</v>
      </c>
      <c r="S64" s="98">
        <f t="shared" si="4"/>
        <v>0</v>
      </c>
      <c r="T64" s="98">
        <f t="shared" si="4"/>
        <v>0</v>
      </c>
      <c r="U64" s="98">
        <f t="shared" si="4"/>
        <v>0</v>
      </c>
      <c r="V64" s="98">
        <f t="shared" si="4"/>
        <v>0</v>
      </c>
      <c r="W64" s="98">
        <f t="shared" si="4"/>
        <v>0</v>
      </c>
      <c r="X64" s="98">
        <f t="shared" si="4"/>
        <v>0</v>
      </c>
      <c r="Y64" s="98">
        <f t="shared" si="4"/>
        <v>0</v>
      </c>
      <c r="AQ64" s="3"/>
    </row>
    <row r="65" spans="5:43" x14ac:dyDescent="0.25">
      <c r="F65" s="67" t="s">
        <v>453</v>
      </c>
      <c r="G65" s="67" t="s">
        <v>207</v>
      </c>
      <c r="H65" s="37"/>
      <c r="I65" s="37"/>
      <c r="J65" s="100">
        <f t="shared" ref="J65:Y65" si="5">J61 * (1 - J63)</f>
        <v>15633.189106320504</v>
      </c>
      <c r="K65" s="100">
        <f t="shared" si="5"/>
        <v>0</v>
      </c>
      <c r="L65" s="100">
        <f t="shared" si="5"/>
        <v>1247.1411418472535</v>
      </c>
      <c r="M65" s="100">
        <f t="shared" si="5"/>
        <v>0</v>
      </c>
      <c r="N65" s="100">
        <f t="shared" si="5"/>
        <v>9128.862598472655</v>
      </c>
      <c r="O65" s="100">
        <f t="shared" si="5"/>
        <v>1854.5359025704354</v>
      </c>
      <c r="P65" s="100">
        <f t="shared" si="5"/>
        <v>8994.2226106116123</v>
      </c>
      <c r="Q65" s="100">
        <f t="shared" si="5"/>
        <v>11.113631514327814</v>
      </c>
      <c r="R65" s="100">
        <f t="shared" si="5"/>
        <v>0</v>
      </c>
      <c r="S65" s="100">
        <f t="shared" si="5"/>
        <v>0</v>
      </c>
      <c r="T65" s="100">
        <f t="shared" si="5"/>
        <v>7.1280936788464269</v>
      </c>
      <c r="U65" s="100">
        <f t="shared" si="5"/>
        <v>0</v>
      </c>
      <c r="V65" s="100">
        <f t="shared" si="5"/>
        <v>0</v>
      </c>
      <c r="W65" s="100">
        <f t="shared" si="5"/>
        <v>0</v>
      </c>
      <c r="X65" s="100">
        <f t="shared" si="5"/>
        <v>0</v>
      </c>
      <c r="Y65" s="100">
        <f t="shared" si="5"/>
        <v>0</v>
      </c>
      <c r="AQ65" s="3"/>
    </row>
    <row r="66" spans="5:43" x14ac:dyDescent="0.25">
      <c r="F66" s="28" t="s">
        <v>454</v>
      </c>
      <c r="G66" s="28" t="s">
        <v>207</v>
      </c>
      <c r="J66" s="121">
        <f t="shared" ref="J66:Y66" si="6">J59 + J64 + J65</f>
        <v>995604.37579133769</v>
      </c>
      <c r="K66" s="121">
        <f t="shared" si="6"/>
        <v>844.76303646099564</v>
      </c>
      <c r="L66" s="121">
        <f t="shared" si="6"/>
        <v>328562.10394094384</v>
      </c>
      <c r="M66" s="121">
        <f t="shared" si="6"/>
        <v>29.861394683968697</v>
      </c>
      <c r="N66" s="121">
        <f t="shared" si="6"/>
        <v>347180.92198321945</v>
      </c>
      <c r="O66" s="121">
        <f t="shared" si="6"/>
        <v>28854.519217997538</v>
      </c>
      <c r="P66" s="121">
        <f t="shared" si="6"/>
        <v>692748.3888782725</v>
      </c>
      <c r="Q66" s="121">
        <f t="shared" si="6"/>
        <v>9808.580008541272</v>
      </c>
      <c r="R66" s="121">
        <f t="shared" si="6"/>
        <v>113.28039016895981</v>
      </c>
      <c r="S66" s="121">
        <f t="shared" si="6"/>
        <v>0</v>
      </c>
      <c r="T66" s="121">
        <f t="shared" si="6"/>
        <v>4553.188877237757</v>
      </c>
      <c r="U66" s="121">
        <f t="shared" si="6"/>
        <v>0</v>
      </c>
      <c r="V66" s="121">
        <f t="shared" si="6"/>
        <v>615.06552578097023</v>
      </c>
      <c r="W66" s="121">
        <f t="shared" si="6"/>
        <v>0</v>
      </c>
      <c r="X66" s="121">
        <f t="shared" si="6"/>
        <v>229961.87994000159</v>
      </c>
      <c r="Y66" s="121">
        <f t="shared" si="6"/>
        <v>0</v>
      </c>
      <c r="AQ66" s="3"/>
    </row>
    <row r="67" spans="5:43" x14ac:dyDescent="0.25">
      <c r="E67" s="32"/>
      <c r="J67" s="89"/>
      <c r="K67" s="89"/>
      <c r="L67" s="89"/>
      <c r="M67" s="89"/>
      <c r="N67" s="89"/>
      <c r="O67" s="89"/>
      <c r="P67" s="89"/>
      <c r="Q67" s="89"/>
      <c r="R67" s="89"/>
      <c r="S67" s="89"/>
      <c r="T67" s="89"/>
      <c r="U67" s="89"/>
      <c r="V67" s="89"/>
      <c r="W67" s="89"/>
      <c r="X67" s="89"/>
      <c r="Y67" s="89"/>
      <c r="AQ67" s="3"/>
    </row>
    <row r="68" spans="5:43" x14ac:dyDescent="0.25">
      <c r="E68" s="32" t="s">
        <v>157</v>
      </c>
      <c r="I68" t="s">
        <v>154</v>
      </c>
      <c r="J68" s="89"/>
      <c r="K68" s="89"/>
      <c r="L68" s="89"/>
      <c r="M68" s="89"/>
      <c r="N68" s="89"/>
      <c r="O68" s="89"/>
      <c r="P68" s="89"/>
      <c r="Q68" s="89"/>
      <c r="R68" s="89"/>
      <c r="S68" s="89"/>
      <c r="T68" s="89"/>
      <c r="U68" s="89"/>
      <c r="V68" s="89"/>
      <c r="W68" s="89"/>
      <c r="X68" s="89"/>
      <c r="Y68" s="89"/>
      <c r="AA68" t="s">
        <v>309</v>
      </c>
      <c r="AQ68" s="3"/>
    </row>
    <row r="69" spans="5:43" x14ac:dyDescent="0.25">
      <c r="E69" s="32"/>
      <c r="J69" s="89"/>
      <c r="K69" s="89"/>
      <c r="L69" s="89"/>
      <c r="M69" s="89"/>
      <c r="N69" s="89"/>
      <c r="O69" s="89"/>
      <c r="P69" s="89"/>
      <c r="Q69" s="89"/>
      <c r="R69" s="89"/>
      <c r="S69" s="89"/>
      <c r="T69" s="89"/>
      <c r="U69" s="89"/>
      <c r="V69" s="89"/>
      <c r="W69" s="89"/>
      <c r="X69" s="89"/>
      <c r="Y69" s="89"/>
      <c r="AQ69" s="3"/>
    </row>
    <row r="70" spans="5:43" x14ac:dyDescent="0.25">
      <c r="F70" s="28" t="s">
        <v>447</v>
      </c>
      <c r="G70" s="28" t="s">
        <v>207</v>
      </c>
      <c r="J70" s="120">
        <f>'Inputs by customer type'!J22</f>
        <v>2877584.0133267501</v>
      </c>
      <c r="K70" s="120">
        <f>'Inputs by customer type'!K22</f>
        <v>5440.3358304795011</v>
      </c>
      <c r="L70" s="120">
        <f>'Inputs by customer type'!L22</f>
        <v>1347000</v>
      </c>
      <c r="M70" s="120">
        <f>'Inputs by customer type'!M22</f>
        <v>464.08328869228717</v>
      </c>
      <c r="N70" s="120">
        <f>'Inputs by customer type'!N22</f>
        <v>1423327.1096899852</v>
      </c>
      <c r="O70" s="120">
        <f>'Inputs by customer type'!O22</f>
        <v>99999.933045702928</v>
      </c>
      <c r="P70" s="120">
        <f>'Inputs by customer type'!P22</f>
        <v>2612881.953087254</v>
      </c>
      <c r="Q70" s="120">
        <f>'Inputs by customer type'!Q22</f>
        <v>48857.68668448575</v>
      </c>
      <c r="R70" s="120">
        <f>'Inputs by customer type'!R22</f>
        <v>613.18218023126963</v>
      </c>
      <c r="S70" s="120">
        <f>'Inputs by customer type'!S22</f>
        <v>0</v>
      </c>
      <c r="T70" s="120">
        <f>'Inputs by customer type'!T22</f>
        <v>22509.835347796026</v>
      </c>
      <c r="U70" s="120">
        <f>'Inputs by customer type'!U22</f>
        <v>0</v>
      </c>
      <c r="V70" s="120">
        <f>'Inputs by customer type'!V22</f>
        <v>2420.0756967191228</v>
      </c>
      <c r="W70" s="120">
        <f>'Inputs by customer type'!W22</f>
        <v>0</v>
      </c>
      <c r="X70" s="120">
        <f>'Inputs by customer type'!X22</f>
        <v>553493.31010462705</v>
      </c>
      <c r="Y70" s="120">
        <f>'Inputs by customer type'!Y22</f>
        <v>0</v>
      </c>
      <c r="AQ70" s="3"/>
    </row>
    <row r="71" spans="5:43" x14ac:dyDescent="0.25">
      <c r="F71" s="28" t="s">
        <v>448</v>
      </c>
      <c r="G71" s="28" t="s">
        <v>207</v>
      </c>
      <c r="J71" s="120">
        <f>'Inputs by customer type'!J31</f>
        <v>37530.497367451906</v>
      </c>
      <c r="K71" s="120">
        <f>'Inputs by customer type'!K31</f>
        <v>0</v>
      </c>
      <c r="L71" s="120">
        <f>'Inputs by customer type'!L31</f>
        <v>1957.0306683909123</v>
      </c>
      <c r="M71" s="120">
        <f>'Inputs by customer type'!M31</f>
        <v>0</v>
      </c>
      <c r="N71" s="120">
        <f>'Inputs by customer type'!N31</f>
        <v>6832.3555270600609</v>
      </c>
      <c r="O71" s="120">
        <f>'Inputs by customer type'!O31</f>
        <v>0</v>
      </c>
      <c r="P71" s="120">
        <f>'Inputs by customer type'!P31</f>
        <v>0</v>
      </c>
      <c r="Q71" s="120">
        <f>'Inputs by customer type'!Q31</f>
        <v>133.52332608419727</v>
      </c>
      <c r="R71" s="120">
        <f>'Inputs by customer type'!R31</f>
        <v>8.5479186479091283</v>
      </c>
      <c r="S71" s="120">
        <f>'Inputs by customer type'!S31</f>
        <v>0</v>
      </c>
      <c r="T71" s="120">
        <f>'Inputs by customer type'!T31</f>
        <v>0</v>
      </c>
      <c r="U71" s="120">
        <f>'Inputs by customer type'!U31</f>
        <v>0</v>
      </c>
      <c r="V71" s="120">
        <f>'Inputs by customer type'!V31</f>
        <v>0</v>
      </c>
      <c r="W71" s="120">
        <f>'Inputs by customer type'!W31</f>
        <v>0</v>
      </c>
      <c r="X71" s="120">
        <f>'Inputs by customer type'!X31</f>
        <v>0</v>
      </c>
      <c r="Y71" s="120">
        <f>'Inputs by customer type'!Y31</f>
        <v>0</v>
      </c>
      <c r="AQ71" s="3"/>
    </row>
    <row r="72" spans="5:43" x14ac:dyDescent="0.25">
      <c r="F72" s="28" t="s">
        <v>449</v>
      </c>
      <c r="G72" s="28" t="s">
        <v>207</v>
      </c>
      <c r="J72" s="120">
        <f>'Inputs by customer type'!J40</f>
        <v>81187.993114057608</v>
      </c>
      <c r="K72" s="120">
        <f>'Inputs by customer type'!K40</f>
        <v>0</v>
      </c>
      <c r="L72" s="120">
        <f>'Inputs by customer type'!L40</f>
        <v>9690.745452329018</v>
      </c>
      <c r="M72" s="120">
        <f>'Inputs by customer type'!M40</f>
        <v>0</v>
      </c>
      <c r="N72" s="120">
        <f>'Inputs by customer type'!N40</f>
        <v>61315.145684501505</v>
      </c>
      <c r="O72" s="120">
        <f>'Inputs by customer type'!O40</f>
        <v>8846.7091653079915</v>
      </c>
      <c r="P72" s="120">
        <f>'Inputs by customer type'!P40</f>
        <v>34457.350474989951</v>
      </c>
      <c r="Q72" s="120">
        <f>'Inputs by customer type'!Q40</f>
        <v>268.42349066049343</v>
      </c>
      <c r="R72" s="120">
        <f>'Inputs by customer type'!R40</f>
        <v>0</v>
      </c>
      <c r="S72" s="120">
        <f>'Inputs by customer type'!S40</f>
        <v>0</v>
      </c>
      <c r="T72" s="120">
        <f>'Inputs by customer type'!T40</f>
        <v>38.840689837672869</v>
      </c>
      <c r="U72" s="120">
        <f>'Inputs by customer type'!U40</f>
        <v>0</v>
      </c>
      <c r="V72" s="120">
        <f>'Inputs by customer type'!V40</f>
        <v>0</v>
      </c>
      <c r="W72" s="120">
        <f>'Inputs by customer type'!W40</f>
        <v>0</v>
      </c>
      <c r="X72" s="120">
        <f>'Inputs by customer type'!X40</f>
        <v>0</v>
      </c>
      <c r="Y72" s="120">
        <f>'Inputs by customer type'!Y40</f>
        <v>0</v>
      </c>
      <c r="AQ72" s="3"/>
    </row>
    <row r="73" spans="5:43" x14ac:dyDescent="0.25">
      <c r="F73" s="28" t="s">
        <v>450</v>
      </c>
      <c r="G73" s="28" t="s">
        <v>167</v>
      </c>
      <c r="J73" s="111">
        <f t="shared" ref="J73:Y73" si="7">IF(J$39, J$45, J$34)</f>
        <v>0.30508437792432874</v>
      </c>
      <c r="K73" s="111">
        <f t="shared" si="7"/>
        <v>0.30508437792432874</v>
      </c>
      <c r="L73" s="111">
        <f t="shared" si="7"/>
        <v>0.30508437792432874</v>
      </c>
      <c r="M73" s="111">
        <f t="shared" si="7"/>
        <v>0.30508437792432874</v>
      </c>
      <c r="N73" s="111">
        <f t="shared" si="7"/>
        <v>0.30508437792432874</v>
      </c>
      <c r="O73" s="111">
        <f t="shared" si="7"/>
        <v>0</v>
      </c>
      <c r="P73" s="111">
        <f t="shared" si="7"/>
        <v>0</v>
      </c>
      <c r="Q73" s="111">
        <f t="shared" si="7"/>
        <v>0.30508437792432874</v>
      </c>
      <c r="R73" s="111">
        <f t="shared" si="7"/>
        <v>0</v>
      </c>
      <c r="S73" s="111">
        <f t="shared" si="7"/>
        <v>0</v>
      </c>
      <c r="T73" s="111">
        <f t="shared" si="7"/>
        <v>0</v>
      </c>
      <c r="U73" s="111">
        <f t="shared" si="7"/>
        <v>0</v>
      </c>
      <c r="V73" s="111">
        <f t="shared" si="7"/>
        <v>0</v>
      </c>
      <c r="W73" s="111">
        <f t="shared" si="7"/>
        <v>0</v>
      </c>
      <c r="X73" s="111">
        <f t="shared" si="7"/>
        <v>0</v>
      </c>
      <c r="Y73" s="111">
        <f t="shared" si="7"/>
        <v>0</v>
      </c>
      <c r="AQ73" s="3"/>
    </row>
    <row r="74" spans="5:43" x14ac:dyDescent="0.25">
      <c r="F74" s="28" t="s">
        <v>451</v>
      </c>
      <c r="G74" s="28" t="s">
        <v>167</v>
      </c>
      <c r="J74" s="111">
        <f t="shared" ref="J74:Y74" si="8">IF(J$39, J$45, J$35)</f>
        <v>0.44780257301891147</v>
      </c>
      <c r="K74" s="111">
        <f t="shared" si="8"/>
        <v>0.44780257301891147</v>
      </c>
      <c r="L74" s="111">
        <f t="shared" si="8"/>
        <v>0.44780257301891147</v>
      </c>
      <c r="M74" s="111">
        <f t="shared" si="8"/>
        <v>0.44780257301891147</v>
      </c>
      <c r="N74" s="111">
        <f t="shared" si="8"/>
        <v>0.44780257301891147</v>
      </c>
      <c r="O74" s="111">
        <f t="shared" si="8"/>
        <v>0.19276050688918686</v>
      </c>
      <c r="P74" s="111">
        <f t="shared" si="8"/>
        <v>8.4660626570948555E-2</v>
      </c>
      <c r="Q74" s="111">
        <f t="shared" si="8"/>
        <v>0.44780257301891147</v>
      </c>
      <c r="R74" s="111">
        <f t="shared" si="8"/>
        <v>0</v>
      </c>
      <c r="S74" s="111">
        <f t="shared" si="8"/>
        <v>0</v>
      </c>
      <c r="T74" s="111">
        <f t="shared" si="8"/>
        <v>0</v>
      </c>
      <c r="U74" s="111">
        <f t="shared" si="8"/>
        <v>0</v>
      </c>
      <c r="V74" s="111">
        <f t="shared" si="8"/>
        <v>0</v>
      </c>
      <c r="W74" s="111">
        <f t="shared" si="8"/>
        <v>0</v>
      </c>
      <c r="X74" s="111">
        <f t="shared" si="8"/>
        <v>0</v>
      </c>
      <c r="Y74" s="111">
        <f t="shared" si="8"/>
        <v>0</v>
      </c>
      <c r="AQ74" s="3"/>
    </row>
    <row r="75" spans="5:43" x14ac:dyDescent="0.25">
      <c r="F75" s="28" t="s">
        <v>452</v>
      </c>
      <c r="G75" s="28" t="s">
        <v>207</v>
      </c>
      <c r="J75" s="98">
        <f t="shared" ref="J75:Y75" si="9">J71 * (1 - J73)</f>
        <v>26080.528924912185</v>
      </c>
      <c r="K75" s="98">
        <f t="shared" si="9"/>
        <v>0</v>
      </c>
      <c r="L75" s="98">
        <f t="shared" si="9"/>
        <v>1359.9711843460375</v>
      </c>
      <c r="M75" s="98">
        <f t="shared" si="9"/>
        <v>0</v>
      </c>
      <c r="N75" s="98">
        <f t="shared" si="9"/>
        <v>4747.9105913290932</v>
      </c>
      <c r="O75" s="98">
        <f t="shared" si="9"/>
        <v>0</v>
      </c>
      <c r="P75" s="98">
        <f t="shared" si="9"/>
        <v>0</v>
      </c>
      <c r="Q75" s="98">
        <f t="shared" si="9"/>
        <v>92.787445207412645</v>
      </c>
      <c r="R75" s="98">
        <f t="shared" si="9"/>
        <v>8.5479186479091283</v>
      </c>
      <c r="S75" s="98">
        <f t="shared" si="9"/>
        <v>0</v>
      </c>
      <c r="T75" s="98">
        <f t="shared" si="9"/>
        <v>0</v>
      </c>
      <c r="U75" s="98">
        <f t="shared" si="9"/>
        <v>0</v>
      </c>
      <c r="V75" s="98">
        <f t="shared" si="9"/>
        <v>0</v>
      </c>
      <c r="W75" s="98">
        <f t="shared" si="9"/>
        <v>0</v>
      </c>
      <c r="X75" s="98">
        <f t="shared" si="9"/>
        <v>0</v>
      </c>
      <c r="Y75" s="98">
        <f t="shared" si="9"/>
        <v>0</v>
      </c>
      <c r="AQ75" s="3"/>
    </row>
    <row r="76" spans="5:43" x14ac:dyDescent="0.25">
      <c r="F76" s="67" t="s">
        <v>453</v>
      </c>
      <c r="G76" s="67" t="s">
        <v>207</v>
      </c>
      <c r="H76" s="37"/>
      <c r="I76" s="37"/>
      <c r="J76" s="100">
        <f t="shared" ref="J76:Y76" si="10">J72 * (1 - J74)</f>
        <v>44831.800899340946</v>
      </c>
      <c r="K76" s="100">
        <f t="shared" si="10"/>
        <v>0</v>
      </c>
      <c r="L76" s="100">
        <f t="shared" si="10"/>
        <v>5351.2047043047687</v>
      </c>
      <c r="M76" s="100">
        <f t="shared" si="10"/>
        <v>0</v>
      </c>
      <c r="N76" s="100">
        <f t="shared" si="10"/>
        <v>33858.065681952328</v>
      </c>
      <c r="O76" s="100">
        <f t="shared" si="10"/>
        <v>7141.4130223020074</v>
      </c>
      <c r="P76" s="100">
        <f t="shared" si="10"/>
        <v>31540.16959380253</v>
      </c>
      <c r="Q76" s="100">
        <f t="shared" si="10"/>
        <v>148.22276088400673</v>
      </c>
      <c r="R76" s="100">
        <f t="shared" si="10"/>
        <v>0</v>
      </c>
      <c r="S76" s="100">
        <f t="shared" si="10"/>
        <v>0</v>
      </c>
      <c r="T76" s="100">
        <f t="shared" si="10"/>
        <v>38.840689837672869</v>
      </c>
      <c r="U76" s="100">
        <f t="shared" si="10"/>
        <v>0</v>
      </c>
      <c r="V76" s="100">
        <f t="shared" si="10"/>
        <v>0</v>
      </c>
      <c r="W76" s="100">
        <f t="shared" si="10"/>
        <v>0</v>
      </c>
      <c r="X76" s="100">
        <f t="shared" si="10"/>
        <v>0</v>
      </c>
      <c r="Y76" s="100">
        <f t="shared" si="10"/>
        <v>0</v>
      </c>
      <c r="AQ76" s="3"/>
    </row>
    <row r="77" spans="5:43" x14ac:dyDescent="0.25">
      <c r="F77" s="28" t="s">
        <v>454</v>
      </c>
      <c r="G77" s="28" t="s">
        <v>207</v>
      </c>
      <c r="J77" s="121">
        <f t="shared" ref="J77:Y77" si="11">J70 + J75 + J76</f>
        <v>2948496.3431510031</v>
      </c>
      <c r="K77" s="121">
        <f t="shared" si="11"/>
        <v>5440.3358304795011</v>
      </c>
      <c r="L77" s="121">
        <f t="shared" si="11"/>
        <v>1353711.1758886508</v>
      </c>
      <c r="M77" s="121">
        <f t="shared" si="11"/>
        <v>464.08328869228717</v>
      </c>
      <c r="N77" s="121">
        <f t="shared" si="11"/>
        <v>1461933.0859632664</v>
      </c>
      <c r="O77" s="121">
        <f t="shared" si="11"/>
        <v>107141.34606800493</v>
      </c>
      <c r="P77" s="121">
        <f t="shared" si="11"/>
        <v>2644422.1226810566</v>
      </c>
      <c r="Q77" s="121">
        <f t="shared" si="11"/>
        <v>49098.696890577165</v>
      </c>
      <c r="R77" s="121">
        <f t="shared" si="11"/>
        <v>621.73009887917874</v>
      </c>
      <c r="S77" s="121">
        <f t="shared" si="11"/>
        <v>0</v>
      </c>
      <c r="T77" s="121">
        <f t="shared" si="11"/>
        <v>22548.676037633701</v>
      </c>
      <c r="U77" s="121">
        <f t="shared" si="11"/>
        <v>0</v>
      </c>
      <c r="V77" s="121">
        <f t="shared" si="11"/>
        <v>2420.0756967191228</v>
      </c>
      <c r="W77" s="121">
        <f t="shared" si="11"/>
        <v>0</v>
      </c>
      <c r="X77" s="121">
        <f t="shared" si="11"/>
        <v>553493.31010462705</v>
      </c>
      <c r="Y77" s="121">
        <f t="shared" si="11"/>
        <v>0</v>
      </c>
      <c r="AQ77" s="3"/>
    </row>
    <row r="78" spans="5:43" x14ac:dyDescent="0.25">
      <c r="E78" s="32"/>
      <c r="J78" s="89"/>
      <c r="K78" s="89"/>
      <c r="L78" s="89"/>
      <c r="M78" s="89"/>
      <c r="N78" s="89"/>
      <c r="O78" s="89"/>
      <c r="P78" s="89"/>
      <c r="Q78" s="89"/>
      <c r="R78" s="89"/>
      <c r="S78" s="89"/>
      <c r="T78" s="89"/>
      <c r="U78" s="89"/>
      <c r="V78" s="89"/>
      <c r="W78" s="89"/>
      <c r="X78" s="89"/>
      <c r="Y78" s="89"/>
      <c r="AQ78" s="3"/>
    </row>
    <row r="79" spans="5:43" x14ac:dyDescent="0.25">
      <c r="E79" s="32" t="s">
        <v>158</v>
      </c>
      <c r="I79" t="s">
        <v>154</v>
      </c>
      <c r="J79" s="89"/>
      <c r="K79" s="89"/>
      <c r="L79" s="89"/>
      <c r="M79" s="89"/>
      <c r="N79" s="89"/>
      <c r="O79" s="89"/>
      <c r="P79" s="89"/>
      <c r="Q79" s="89"/>
      <c r="R79" s="89"/>
      <c r="S79" s="89"/>
      <c r="T79" s="89"/>
      <c r="U79" s="89"/>
      <c r="V79" s="89"/>
      <c r="W79" s="89"/>
      <c r="X79" s="89"/>
      <c r="Y79" s="89"/>
      <c r="AA79" t="s">
        <v>309</v>
      </c>
      <c r="AQ79" s="3"/>
    </row>
    <row r="80" spans="5:43" x14ac:dyDescent="0.25">
      <c r="E80" s="32"/>
      <c r="J80" s="89"/>
      <c r="K80" s="89"/>
      <c r="L80" s="89"/>
      <c r="M80" s="89"/>
      <c r="N80" s="89"/>
      <c r="O80" s="89"/>
      <c r="P80" s="89"/>
      <c r="Q80" s="89"/>
      <c r="R80" s="89"/>
      <c r="S80" s="89"/>
      <c r="T80" s="89"/>
      <c r="U80" s="89"/>
      <c r="V80" s="89"/>
      <c r="W80" s="89"/>
      <c r="X80" s="89"/>
      <c r="Y80" s="89"/>
      <c r="AQ80" s="3"/>
    </row>
    <row r="81" spans="5:43" x14ac:dyDescent="0.25">
      <c r="F81" s="28" t="s">
        <v>447</v>
      </c>
      <c r="G81" s="28" t="s">
        <v>207</v>
      </c>
      <c r="J81" s="120">
        <f>'Inputs by customer type'!J23</f>
        <v>4767280.9236435853</v>
      </c>
      <c r="K81" s="120">
        <f>'Inputs by customer type'!K23</f>
        <v>9899.7165488828668</v>
      </c>
      <c r="L81" s="120">
        <f>'Inputs by customer type'!L23</f>
        <v>1478999.9999999991</v>
      </c>
      <c r="M81" s="120">
        <f>'Inputs by customer type'!M23</f>
        <v>1793.2522001264201</v>
      </c>
      <c r="N81" s="120">
        <f>'Inputs by customer type'!N23</f>
        <v>1552629.3612040761</v>
      </c>
      <c r="O81" s="120">
        <f>'Inputs by customer type'!O23</f>
        <v>113999.95277009411</v>
      </c>
      <c r="P81" s="120">
        <f>'Inputs by customer type'!P23</f>
        <v>3724107.6112967753</v>
      </c>
      <c r="Q81" s="120">
        <f>'Inputs by customer type'!Q23</f>
        <v>162200.78716886745</v>
      </c>
      <c r="R81" s="120">
        <f>'Inputs by customer type'!R23</f>
        <v>360.39625966114863</v>
      </c>
      <c r="S81" s="120">
        <f>'Inputs by customer type'!S23</f>
        <v>0</v>
      </c>
      <c r="T81" s="120">
        <f>'Inputs by customer type'!T23</f>
        <v>23742.428245022977</v>
      </c>
      <c r="U81" s="120">
        <f>'Inputs by customer type'!U23</f>
        <v>0</v>
      </c>
      <c r="V81" s="120">
        <f>'Inputs by customer type'!V23</f>
        <v>4177.5270200851664</v>
      </c>
      <c r="W81" s="120">
        <f>'Inputs by customer type'!W23</f>
        <v>0</v>
      </c>
      <c r="X81" s="120">
        <f>'Inputs by customer type'!X23</f>
        <v>650372.22755506483</v>
      </c>
      <c r="Y81" s="120">
        <f>'Inputs by customer type'!Y23</f>
        <v>0</v>
      </c>
      <c r="AQ81" s="3"/>
    </row>
    <row r="82" spans="5:43" x14ac:dyDescent="0.25">
      <c r="F82" s="28" t="s">
        <v>448</v>
      </c>
      <c r="G82" s="28" t="s">
        <v>207</v>
      </c>
      <c r="J82" s="120">
        <f>'Inputs by customer type'!J32</f>
        <v>56461.54537947644</v>
      </c>
      <c r="K82" s="120">
        <f>'Inputs by customer type'!K32</f>
        <v>0</v>
      </c>
      <c r="L82" s="120">
        <f>'Inputs by customer type'!L32</f>
        <v>1844.1067569787656</v>
      </c>
      <c r="M82" s="120">
        <f>'Inputs by customer type'!M32</f>
        <v>0</v>
      </c>
      <c r="N82" s="120">
        <f>'Inputs by customer type'!N32</f>
        <v>8494.7049279408293</v>
      </c>
      <c r="O82" s="120">
        <f>'Inputs by customer type'!O32</f>
        <v>0</v>
      </c>
      <c r="P82" s="120">
        <f>'Inputs by customer type'!P32</f>
        <v>0</v>
      </c>
      <c r="Q82" s="120">
        <f>'Inputs by customer type'!Q32</f>
        <v>229.75708376026876</v>
      </c>
      <c r="R82" s="120">
        <f>'Inputs by customer type'!R32</f>
        <v>5.0449220883076977</v>
      </c>
      <c r="S82" s="120">
        <f>'Inputs by customer type'!S32</f>
        <v>0</v>
      </c>
      <c r="T82" s="120">
        <f>'Inputs by customer type'!T32</f>
        <v>0</v>
      </c>
      <c r="U82" s="120">
        <f>'Inputs by customer type'!U32</f>
        <v>0</v>
      </c>
      <c r="V82" s="120">
        <f>'Inputs by customer type'!V32</f>
        <v>0</v>
      </c>
      <c r="W82" s="120">
        <f>'Inputs by customer type'!W32</f>
        <v>0</v>
      </c>
      <c r="X82" s="120">
        <f>'Inputs by customer type'!X32</f>
        <v>0</v>
      </c>
      <c r="Y82" s="120">
        <f>'Inputs by customer type'!Y32</f>
        <v>0</v>
      </c>
      <c r="AQ82" s="3"/>
    </row>
    <row r="83" spans="5:43" x14ac:dyDescent="0.25">
      <c r="F83" s="28" t="s">
        <v>449</v>
      </c>
      <c r="G83" s="28" t="s">
        <v>207</v>
      </c>
      <c r="J83" s="120">
        <f>'Inputs by customer type'!J41</f>
        <v>122440.09556967219</v>
      </c>
      <c r="K83" s="120">
        <f>'Inputs by customer type'!K41</f>
        <v>0</v>
      </c>
      <c r="L83" s="120">
        <f>'Inputs by customer type'!L41</f>
        <v>8744.0157201230868</v>
      </c>
      <c r="M83" s="120">
        <f>'Inputs by customer type'!M41</f>
        <v>0</v>
      </c>
      <c r="N83" s="120">
        <f>'Inputs by customer type'!N41</f>
        <v>76148.11170906917</v>
      </c>
      <c r="O83" s="120">
        <f>'Inputs by customer type'!O41</f>
        <v>12956.12974957714</v>
      </c>
      <c r="P83" s="120">
        <f>'Inputs by customer type'!P41</f>
        <v>53818.464042834421</v>
      </c>
      <c r="Q83" s="120">
        <f>'Inputs by customer type'!Q41</f>
        <v>487.81459259489043</v>
      </c>
      <c r="R83" s="120">
        <f>'Inputs by customer type'!R41</f>
        <v>0</v>
      </c>
      <c r="S83" s="120">
        <f>'Inputs by customer type'!S41</f>
        <v>0</v>
      </c>
      <c r="T83" s="120">
        <f>'Inputs by customer type'!T41</f>
        <v>73.659415726650337</v>
      </c>
      <c r="U83" s="120">
        <f>'Inputs by customer type'!U41</f>
        <v>0</v>
      </c>
      <c r="V83" s="120">
        <f>'Inputs by customer type'!V41</f>
        <v>0</v>
      </c>
      <c r="W83" s="120">
        <f>'Inputs by customer type'!W41</f>
        <v>0</v>
      </c>
      <c r="X83" s="120">
        <f>'Inputs by customer type'!X41</f>
        <v>0</v>
      </c>
      <c r="Y83" s="120">
        <f>'Inputs by customer type'!Y41</f>
        <v>0</v>
      </c>
      <c r="AQ83" s="3"/>
    </row>
    <row r="84" spans="5:43" x14ac:dyDescent="0.25">
      <c r="F84" s="28" t="s">
        <v>450</v>
      </c>
      <c r="G84" s="28" t="s">
        <v>167</v>
      </c>
      <c r="J84" s="111">
        <f t="shared" ref="J84:Y84" si="12">IF(J$39, J$45, J$34)</f>
        <v>0.30508437792432874</v>
      </c>
      <c r="K84" s="111">
        <f t="shared" si="12"/>
        <v>0.30508437792432874</v>
      </c>
      <c r="L84" s="111">
        <f t="shared" si="12"/>
        <v>0.30508437792432874</v>
      </c>
      <c r="M84" s="111">
        <f t="shared" si="12"/>
        <v>0.30508437792432874</v>
      </c>
      <c r="N84" s="111">
        <f t="shared" si="12"/>
        <v>0.30508437792432874</v>
      </c>
      <c r="O84" s="111">
        <f t="shared" si="12"/>
        <v>0</v>
      </c>
      <c r="P84" s="111">
        <f t="shared" si="12"/>
        <v>0</v>
      </c>
      <c r="Q84" s="111">
        <f t="shared" si="12"/>
        <v>0.30508437792432874</v>
      </c>
      <c r="R84" s="111">
        <f t="shared" si="12"/>
        <v>0</v>
      </c>
      <c r="S84" s="111">
        <f t="shared" si="12"/>
        <v>0</v>
      </c>
      <c r="T84" s="111">
        <f t="shared" si="12"/>
        <v>0</v>
      </c>
      <c r="U84" s="111">
        <f t="shared" si="12"/>
        <v>0</v>
      </c>
      <c r="V84" s="111">
        <f t="shared" si="12"/>
        <v>0</v>
      </c>
      <c r="W84" s="111">
        <f t="shared" si="12"/>
        <v>0</v>
      </c>
      <c r="X84" s="111">
        <f t="shared" si="12"/>
        <v>0</v>
      </c>
      <c r="Y84" s="111">
        <f t="shared" si="12"/>
        <v>0</v>
      </c>
      <c r="AQ84" s="3"/>
    </row>
    <row r="85" spans="5:43" x14ac:dyDescent="0.25">
      <c r="F85" s="28" t="s">
        <v>451</v>
      </c>
      <c r="G85" s="28" t="s">
        <v>167</v>
      </c>
      <c r="J85" s="111">
        <f t="shared" ref="J85:Y85" si="13">IF(J$39, J$45, J$35)</f>
        <v>0.44780257301891147</v>
      </c>
      <c r="K85" s="111">
        <f t="shared" si="13"/>
        <v>0.44780257301891147</v>
      </c>
      <c r="L85" s="111">
        <f t="shared" si="13"/>
        <v>0.44780257301891147</v>
      </c>
      <c r="M85" s="111">
        <f t="shared" si="13"/>
        <v>0.44780257301891147</v>
      </c>
      <c r="N85" s="111">
        <f t="shared" si="13"/>
        <v>0.44780257301891147</v>
      </c>
      <c r="O85" s="111">
        <f t="shared" si="13"/>
        <v>0.19276050688918686</v>
      </c>
      <c r="P85" s="111">
        <f t="shared" si="13"/>
        <v>8.4660626570948555E-2</v>
      </c>
      <c r="Q85" s="111">
        <f t="shared" si="13"/>
        <v>0.44780257301891147</v>
      </c>
      <c r="R85" s="111">
        <f t="shared" si="13"/>
        <v>0</v>
      </c>
      <c r="S85" s="111">
        <f t="shared" si="13"/>
        <v>0</v>
      </c>
      <c r="T85" s="111">
        <f t="shared" si="13"/>
        <v>0</v>
      </c>
      <c r="U85" s="111">
        <f t="shared" si="13"/>
        <v>0</v>
      </c>
      <c r="V85" s="111">
        <f t="shared" si="13"/>
        <v>0</v>
      </c>
      <c r="W85" s="111">
        <f t="shared" si="13"/>
        <v>0</v>
      </c>
      <c r="X85" s="111">
        <f t="shared" si="13"/>
        <v>0</v>
      </c>
      <c r="Y85" s="111">
        <f t="shared" si="13"/>
        <v>0</v>
      </c>
      <c r="AQ85" s="3"/>
    </row>
    <row r="86" spans="5:43" x14ac:dyDescent="0.25">
      <c r="F86" s="28" t="s">
        <v>452</v>
      </c>
      <c r="G86" s="28" t="s">
        <v>207</v>
      </c>
      <c r="J86" s="98">
        <f t="shared" ref="J86:Y86" si="14">J82 * (1 - J84)</f>
        <v>39236.009930732609</v>
      </c>
      <c r="K86" s="98">
        <f t="shared" si="14"/>
        <v>0</v>
      </c>
      <c r="L86" s="98">
        <f t="shared" si="14"/>
        <v>1281.4985941998475</v>
      </c>
      <c r="M86" s="98">
        <f t="shared" si="14"/>
        <v>0</v>
      </c>
      <c r="N86" s="98">
        <f t="shared" si="14"/>
        <v>5903.1031593492717</v>
      </c>
      <c r="O86" s="98">
        <f t="shared" si="14"/>
        <v>0</v>
      </c>
      <c r="P86" s="98">
        <f t="shared" si="14"/>
        <v>0</v>
      </c>
      <c r="Q86" s="98">
        <f t="shared" si="14"/>
        <v>159.66178678755927</v>
      </c>
      <c r="R86" s="98">
        <f t="shared" si="14"/>
        <v>5.0449220883076977</v>
      </c>
      <c r="S86" s="98">
        <f t="shared" si="14"/>
        <v>0</v>
      </c>
      <c r="T86" s="98">
        <f t="shared" si="14"/>
        <v>0</v>
      </c>
      <c r="U86" s="98">
        <f t="shared" si="14"/>
        <v>0</v>
      </c>
      <c r="V86" s="98">
        <f t="shared" si="14"/>
        <v>0</v>
      </c>
      <c r="W86" s="98">
        <f t="shared" si="14"/>
        <v>0</v>
      </c>
      <c r="X86" s="98">
        <f t="shared" si="14"/>
        <v>0</v>
      </c>
      <c r="Y86" s="98">
        <f t="shared" si="14"/>
        <v>0</v>
      </c>
      <c r="AQ86" s="3"/>
    </row>
    <row r="87" spans="5:43" x14ac:dyDescent="0.25">
      <c r="F87" s="67" t="s">
        <v>453</v>
      </c>
      <c r="G87" s="67" t="s">
        <v>207</v>
      </c>
      <c r="H87" s="37"/>
      <c r="I87" s="37"/>
      <c r="J87" s="100">
        <f t="shared" ref="J87:Y87" si="15">J83 * (1 - J85)</f>
        <v>67611.105732891563</v>
      </c>
      <c r="K87" s="100">
        <f t="shared" si="15"/>
        <v>0</v>
      </c>
      <c r="L87" s="100">
        <f t="shared" si="15"/>
        <v>4828.4229821341587</v>
      </c>
      <c r="M87" s="100">
        <f t="shared" si="15"/>
        <v>0</v>
      </c>
      <c r="N87" s="100">
        <f t="shared" si="15"/>
        <v>42048.791355216497</v>
      </c>
      <c r="O87" s="100">
        <f t="shared" si="15"/>
        <v>10458.699611726575</v>
      </c>
      <c r="P87" s="100">
        <f t="shared" si="15"/>
        <v>49262.159155881993</v>
      </c>
      <c r="Q87" s="100">
        <f t="shared" si="15"/>
        <v>269.36996287472647</v>
      </c>
      <c r="R87" s="100">
        <f t="shared" si="15"/>
        <v>0</v>
      </c>
      <c r="S87" s="100">
        <f t="shared" si="15"/>
        <v>0</v>
      </c>
      <c r="T87" s="100">
        <f t="shared" si="15"/>
        <v>73.659415726650337</v>
      </c>
      <c r="U87" s="100">
        <f t="shared" si="15"/>
        <v>0</v>
      </c>
      <c r="V87" s="100">
        <f t="shared" si="15"/>
        <v>0</v>
      </c>
      <c r="W87" s="100">
        <f t="shared" si="15"/>
        <v>0</v>
      </c>
      <c r="X87" s="100">
        <f t="shared" si="15"/>
        <v>0</v>
      </c>
      <c r="Y87" s="100">
        <f t="shared" si="15"/>
        <v>0</v>
      </c>
      <c r="AQ87" s="3"/>
    </row>
    <row r="88" spans="5:43" x14ac:dyDescent="0.25">
      <c r="F88" s="28" t="s">
        <v>454</v>
      </c>
      <c r="G88" s="28" t="s">
        <v>207</v>
      </c>
      <c r="J88" s="121">
        <f t="shared" ref="J88:Y88" si="16">J81 + J86 + J87</f>
        <v>4874128.0393072097</v>
      </c>
      <c r="K88" s="121">
        <f t="shared" si="16"/>
        <v>9899.7165488828668</v>
      </c>
      <c r="L88" s="121">
        <f t="shared" si="16"/>
        <v>1485109.921576333</v>
      </c>
      <c r="M88" s="121">
        <f t="shared" si="16"/>
        <v>1793.2522001264201</v>
      </c>
      <c r="N88" s="121">
        <f t="shared" si="16"/>
        <v>1600581.2557186417</v>
      </c>
      <c r="O88" s="121">
        <f t="shared" si="16"/>
        <v>124458.65238182069</v>
      </c>
      <c r="P88" s="121">
        <f t="shared" si="16"/>
        <v>3773369.7704526572</v>
      </c>
      <c r="Q88" s="121">
        <f t="shared" si="16"/>
        <v>162629.81891852972</v>
      </c>
      <c r="R88" s="121">
        <f t="shared" si="16"/>
        <v>365.44118174945635</v>
      </c>
      <c r="S88" s="121">
        <f t="shared" si="16"/>
        <v>0</v>
      </c>
      <c r="T88" s="121">
        <f t="shared" si="16"/>
        <v>23816.087660749628</v>
      </c>
      <c r="U88" s="121">
        <f t="shared" si="16"/>
        <v>0</v>
      </c>
      <c r="V88" s="121">
        <f t="shared" si="16"/>
        <v>4177.5270200851664</v>
      </c>
      <c r="W88" s="121">
        <f t="shared" si="16"/>
        <v>0</v>
      </c>
      <c r="X88" s="121">
        <f t="shared" si="16"/>
        <v>650372.22755506483</v>
      </c>
      <c r="Y88" s="121">
        <f t="shared" si="16"/>
        <v>0</v>
      </c>
      <c r="AQ88" s="3"/>
    </row>
    <row r="89" spans="5:43" x14ac:dyDescent="0.25">
      <c r="E89" s="32"/>
      <c r="J89" s="89"/>
      <c r="K89" s="89"/>
      <c r="L89" s="89"/>
      <c r="M89" s="89"/>
      <c r="N89" s="89"/>
      <c r="O89" s="89"/>
      <c r="P89" s="89"/>
      <c r="Q89" s="89"/>
      <c r="R89" s="89"/>
      <c r="S89" s="89"/>
      <c r="T89" s="89"/>
      <c r="U89" s="89"/>
      <c r="V89" s="89"/>
      <c r="W89" s="89"/>
      <c r="X89" s="89"/>
      <c r="Y89" s="89"/>
      <c r="AQ89" s="3"/>
    </row>
    <row r="90" spans="5:43" x14ac:dyDescent="0.25">
      <c r="E90" s="32" t="s">
        <v>455</v>
      </c>
      <c r="I90" t="s">
        <v>154</v>
      </c>
      <c r="J90" s="89"/>
      <c r="K90" s="89"/>
      <c r="L90" s="89"/>
      <c r="M90" s="89"/>
      <c r="N90" s="89"/>
      <c r="O90" s="89"/>
      <c r="P90" s="89"/>
      <c r="Q90" s="89"/>
      <c r="R90" s="89"/>
      <c r="S90" s="89"/>
      <c r="T90" s="89"/>
      <c r="U90" s="89"/>
      <c r="V90" s="89"/>
      <c r="W90" s="89"/>
      <c r="X90" s="89"/>
      <c r="Y90" s="89"/>
      <c r="AQ90" s="3"/>
    </row>
    <row r="91" spans="5:43" x14ac:dyDescent="0.25">
      <c r="E91" s="32"/>
      <c r="J91" s="89"/>
      <c r="K91" s="89"/>
      <c r="L91" s="89"/>
      <c r="M91" s="89"/>
      <c r="N91" s="89"/>
      <c r="O91" s="89"/>
      <c r="P91" s="89"/>
      <c r="Q91" s="89"/>
      <c r="R91" s="89"/>
      <c r="S91" s="89"/>
      <c r="T91" s="89"/>
      <c r="U91" s="89"/>
      <c r="V91" s="89"/>
      <c r="W91" s="89"/>
      <c r="X91" s="89"/>
      <c r="Y91" s="89"/>
      <c r="AQ91" s="3"/>
    </row>
    <row r="92" spans="5:43" x14ac:dyDescent="0.25">
      <c r="F92" s="28" t="s">
        <v>454</v>
      </c>
      <c r="G92" s="28" t="s">
        <v>207</v>
      </c>
      <c r="J92" s="98">
        <f t="shared" ref="J92:Y92" si="17">J88 + J77 + J66</f>
        <v>8818228.7582495511</v>
      </c>
      <c r="K92" s="98">
        <f t="shared" si="17"/>
        <v>16184.815415823365</v>
      </c>
      <c r="L92" s="98">
        <f t="shared" si="17"/>
        <v>3167383.2014059275</v>
      </c>
      <c r="M92" s="98">
        <f t="shared" si="17"/>
        <v>2287.196883502676</v>
      </c>
      <c r="N92" s="98">
        <f t="shared" si="17"/>
        <v>3409695.2636651276</v>
      </c>
      <c r="O92" s="98">
        <f t="shared" si="17"/>
        <v>260454.51766782315</v>
      </c>
      <c r="P92" s="98">
        <f t="shared" si="17"/>
        <v>7110540.2820119867</v>
      </c>
      <c r="Q92" s="98">
        <f t="shared" si="17"/>
        <v>221537.09581764814</v>
      </c>
      <c r="R92" s="98">
        <f t="shared" si="17"/>
        <v>1100.4516707975949</v>
      </c>
      <c r="S92" s="98">
        <f t="shared" si="17"/>
        <v>0</v>
      </c>
      <c r="T92" s="98">
        <f t="shared" si="17"/>
        <v>50917.952575621086</v>
      </c>
      <c r="U92" s="98">
        <f t="shared" si="17"/>
        <v>0</v>
      </c>
      <c r="V92" s="98">
        <f t="shared" si="17"/>
        <v>7212.6682425852596</v>
      </c>
      <c r="W92" s="98">
        <f t="shared" si="17"/>
        <v>0</v>
      </c>
      <c r="X92" s="98">
        <f t="shared" si="17"/>
        <v>1433827.4175996934</v>
      </c>
      <c r="Y92" s="98">
        <f t="shared" si="17"/>
        <v>0</v>
      </c>
      <c r="AQ92" s="3"/>
    </row>
    <row r="93" spans="5:43" x14ac:dyDescent="0.25">
      <c r="E93" s="32"/>
      <c r="J93" s="89"/>
      <c r="K93" s="89"/>
      <c r="L93" s="89"/>
      <c r="M93" s="89"/>
      <c r="N93" s="89"/>
      <c r="O93" s="89"/>
      <c r="P93" s="89"/>
      <c r="Q93" s="89"/>
      <c r="R93" s="89"/>
      <c r="S93" s="89"/>
      <c r="T93" s="89"/>
      <c r="U93" s="89"/>
      <c r="V93" s="89"/>
      <c r="W93" s="89"/>
      <c r="X93" s="89"/>
      <c r="Y93" s="89"/>
      <c r="AQ93" s="3"/>
    </row>
    <row r="94" spans="5:43" x14ac:dyDescent="0.25">
      <c r="E94" s="32" t="s">
        <v>212</v>
      </c>
      <c r="I94" t="s">
        <v>154</v>
      </c>
      <c r="J94" s="89"/>
      <c r="K94" s="89"/>
      <c r="L94" s="89"/>
      <c r="M94" s="89"/>
      <c r="N94" s="89"/>
      <c r="O94" s="89"/>
      <c r="P94" s="89"/>
      <c r="Q94" s="89"/>
      <c r="R94" s="89"/>
      <c r="S94" s="89"/>
      <c r="T94" s="89"/>
      <c r="U94" s="89"/>
      <c r="V94" s="89"/>
      <c r="W94" s="89"/>
      <c r="X94" s="89"/>
      <c r="Y94" s="89"/>
      <c r="AA94" t="s">
        <v>309</v>
      </c>
      <c r="AQ94" s="3"/>
    </row>
    <row r="95" spans="5:43" x14ac:dyDescent="0.25">
      <c r="E95" s="32"/>
      <c r="J95" s="89"/>
      <c r="K95" s="89"/>
      <c r="L95" s="89"/>
      <c r="M95" s="89"/>
      <c r="N95" s="89"/>
      <c r="O95" s="89"/>
      <c r="P95" s="89"/>
      <c r="Q95" s="89"/>
      <c r="R95" s="89"/>
      <c r="S95" s="89"/>
      <c r="T95" s="89"/>
      <c r="U95" s="89"/>
      <c r="V95" s="89"/>
      <c r="W95" s="89"/>
      <c r="X95" s="89"/>
      <c r="Y95" s="89"/>
      <c r="AQ95" s="3"/>
    </row>
    <row r="96" spans="5:43" x14ac:dyDescent="0.25">
      <c r="F96" s="28" t="s">
        <v>447</v>
      </c>
      <c r="G96" s="28" t="s">
        <v>212</v>
      </c>
      <c r="J96" s="120">
        <f>'Inputs by customer type'!J24</f>
        <v>2477513.7178437123</v>
      </c>
      <c r="K96" s="120">
        <f>'Inputs by customer type'!K24</f>
        <v>0</v>
      </c>
      <c r="L96" s="120">
        <f>'Inputs by customer type'!L24</f>
        <v>185569.60899648417</v>
      </c>
      <c r="M96" s="120">
        <f>'Inputs by customer type'!M24</f>
        <v>0</v>
      </c>
      <c r="N96" s="120">
        <f>'Inputs by customer type'!N24</f>
        <v>15340.276254392342</v>
      </c>
      <c r="O96" s="120">
        <f>'Inputs by customer type'!O24</f>
        <v>459.27543026736708</v>
      </c>
      <c r="P96" s="120">
        <f>'Inputs by customer type'!P24</f>
        <v>3354.375620826745</v>
      </c>
      <c r="Q96" s="120">
        <f>'Inputs by customer type'!Q24</f>
        <v>31.606325583497927</v>
      </c>
      <c r="R96" s="120">
        <f>'Inputs by customer type'!R24</f>
        <v>0</v>
      </c>
      <c r="S96" s="120">
        <f>'Inputs by customer type'!S24</f>
        <v>0</v>
      </c>
      <c r="T96" s="120">
        <f>'Inputs by customer type'!T24</f>
        <v>737.24112185551337</v>
      </c>
      <c r="U96" s="120">
        <f>'Inputs by customer type'!U24</f>
        <v>0</v>
      </c>
      <c r="V96" s="120">
        <f>'Inputs by customer type'!V24</f>
        <v>52.799295590310457</v>
      </c>
      <c r="W96" s="120">
        <f>'Inputs by customer type'!W24</f>
        <v>0</v>
      </c>
      <c r="X96" s="120">
        <f>'Inputs by customer type'!X24</f>
        <v>465.20466013888074</v>
      </c>
      <c r="Y96" s="120">
        <f>'Inputs by customer type'!Y24</f>
        <v>0</v>
      </c>
      <c r="AQ96" s="3"/>
    </row>
    <row r="97" spans="5:43" x14ac:dyDescent="0.25">
      <c r="F97" s="28" t="s">
        <v>448</v>
      </c>
      <c r="G97" s="28" t="s">
        <v>212</v>
      </c>
      <c r="J97" s="120">
        <f>'Inputs by customer type'!J33</f>
        <v>37750.717101212329</v>
      </c>
      <c r="K97" s="120">
        <f>'Inputs by customer type'!K33</f>
        <v>0</v>
      </c>
      <c r="L97" s="120">
        <f>'Inputs by customer type'!L33</f>
        <v>675.59151524793992</v>
      </c>
      <c r="M97" s="120">
        <f>'Inputs by customer type'!M33</f>
        <v>0</v>
      </c>
      <c r="N97" s="120">
        <f>'Inputs by customer type'!N33</f>
        <v>72.304526182405169</v>
      </c>
      <c r="O97" s="120">
        <f>'Inputs by customer type'!O33</f>
        <v>0</v>
      </c>
      <c r="P97" s="120">
        <f>'Inputs by customer type'!P33</f>
        <v>0</v>
      </c>
      <c r="Q97" s="120">
        <f>'Inputs by customer type'!Q33</f>
        <v>0</v>
      </c>
      <c r="R97" s="120">
        <f>'Inputs by customer type'!R33</f>
        <v>0</v>
      </c>
      <c r="S97" s="120">
        <f>'Inputs by customer type'!S33</f>
        <v>0</v>
      </c>
      <c r="T97" s="120">
        <f>'Inputs by customer type'!T33</f>
        <v>0</v>
      </c>
      <c r="U97" s="120">
        <f>'Inputs by customer type'!U33</f>
        <v>0</v>
      </c>
      <c r="V97" s="120">
        <f>'Inputs by customer type'!V33</f>
        <v>0</v>
      </c>
      <c r="W97" s="120">
        <f>'Inputs by customer type'!W33</f>
        <v>0</v>
      </c>
      <c r="X97" s="120">
        <f>'Inputs by customer type'!X33</f>
        <v>0</v>
      </c>
      <c r="Y97" s="120">
        <f>'Inputs by customer type'!Y33</f>
        <v>0</v>
      </c>
      <c r="AQ97" s="3"/>
    </row>
    <row r="98" spans="5:43" x14ac:dyDescent="0.25">
      <c r="F98" s="28" t="s">
        <v>449</v>
      </c>
      <c r="G98" s="28" t="s">
        <v>212</v>
      </c>
      <c r="J98" s="120">
        <f>'Inputs by customer type'!J42</f>
        <v>84612.642341332583</v>
      </c>
      <c r="K98" s="120">
        <f>'Inputs by customer type'!K42</f>
        <v>0</v>
      </c>
      <c r="L98" s="120">
        <f>'Inputs by customer type'!L42</f>
        <v>2007.1508087950704</v>
      </c>
      <c r="M98" s="120">
        <f>'Inputs by customer type'!M42</f>
        <v>0</v>
      </c>
      <c r="N98" s="120">
        <f>'Inputs by customer type'!N42</f>
        <v>465.73936485136232</v>
      </c>
      <c r="O98" s="120">
        <f>'Inputs by customer type'!O42</f>
        <v>26.84503596609763</v>
      </c>
      <c r="P98" s="120">
        <f>'Inputs by customer type'!P42</f>
        <v>45.30709916235724</v>
      </c>
      <c r="Q98" s="120">
        <f>'Inputs by customer type'!Q42</f>
        <v>0</v>
      </c>
      <c r="R98" s="120">
        <f>'Inputs by customer type'!R42</f>
        <v>0</v>
      </c>
      <c r="S98" s="120">
        <f>'Inputs by customer type'!S42</f>
        <v>0</v>
      </c>
      <c r="T98" s="120">
        <f>'Inputs by customer type'!T42</f>
        <v>6.4768152573212072</v>
      </c>
      <c r="U98" s="120">
        <f>'Inputs by customer type'!U42</f>
        <v>0</v>
      </c>
      <c r="V98" s="120">
        <f>'Inputs by customer type'!V42</f>
        <v>0</v>
      </c>
      <c r="W98" s="120">
        <f>'Inputs by customer type'!W42</f>
        <v>0</v>
      </c>
      <c r="X98" s="120">
        <f>'Inputs by customer type'!X42</f>
        <v>0</v>
      </c>
      <c r="Y98" s="120">
        <f>'Inputs by customer type'!Y42</f>
        <v>0</v>
      </c>
      <c r="AQ98" s="3"/>
    </row>
    <row r="99" spans="5:43" x14ac:dyDescent="0.25">
      <c r="F99" s="28" t="s">
        <v>450</v>
      </c>
      <c r="G99" s="28" t="s">
        <v>167</v>
      </c>
      <c r="J99" s="111">
        <f t="shared" ref="J99:Y99" si="18">IF(J$40, J$46, J$34)</f>
        <v>0.30508437792432874</v>
      </c>
      <c r="K99" s="111">
        <f t="shared" si="18"/>
        <v>0.30508437792432874</v>
      </c>
      <c r="L99" s="111">
        <f t="shared" si="18"/>
        <v>0.30508437792432874</v>
      </c>
      <c r="M99" s="111">
        <f t="shared" si="18"/>
        <v>0.30508437792432874</v>
      </c>
      <c r="N99" s="111">
        <f t="shared" si="18"/>
        <v>0.30508437792432874</v>
      </c>
      <c r="O99" s="111">
        <f t="shared" si="18"/>
        <v>0</v>
      </c>
      <c r="P99" s="111">
        <f t="shared" si="18"/>
        <v>0</v>
      </c>
      <c r="Q99" s="111">
        <f t="shared" si="18"/>
        <v>0.30508437792432874</v>
      </c>
      <c r="R99" s="111">
        <f t="shared" si="18"/>
        <v>1</v>
      </c>
      <c r="S99" s="111">
        <f t="shared" si="18"/>
        <v>1</v>
      </c>
      <c r="T99" s="111">
        <f t="shared" si="18"/>
        <v>1</v>
      </c>
      <c r="U99" s="111">
        <f t="shared" si="18"/>
        <v>1</v>
      </c>
      <c r="V99" s="111">
        <f t="shared" si="18"/>
        <v>1</v>
      </c>
      <c r="W99" s="111">
        <f t="shared" si="18"/>
        <v>1</v>
      </c>
      <c r="X99" s="111">
        <f t="shared" si="18"/>
        <v>1</v>
      </c>
      <c r="Y99" s="111">
        <f t="shared" si="18"/>
        <v>1</v>
      </c>
      <c r="AQ99" s="3"/>
    </row>
    <row r="100" spans="5:43" x14ac:dyDescent="0.25">
      <c r="F100" s="28" t="s">
        <v>451</v>
      </c>
      <c r="G100" s="28" t="s">
        <v>167</v>
      </c>
      <c r="J100" s="111">
        <f t="shared" ref="J100:Y100" si="19">IF(J$40, J$46, J$35)</f>
        <v>0.44780257301891147</v>
      </c>
      <c r="K100" s="111">
        <f t="shared" si="19"/>
        <v>0.44780257301891147</v>
      </c>
      <c r="L100" s="111">
        <f t="shared" si="19"/>
        <v>0.44780257301891147</v>
      </c>
      <c r="M100" s="111">
        <f t="shared" si="19"/>
        <v>0.44780257301891147</v>
      </c>
      <c r="N100" s="111">
        <f t="shared" si="19"/>
        <v>0.44780257301891147</v>
      </c>
      <c r="O100" s="111">
        <f t="shared" si="19"/>
        <v>0.19276050688918686</v>
      </c>
      <c r="P100" s="111">
        <f t="shared" si="19"/>
        <v>8.4660626570948555E-2</v>
      </c>
      <c r="Q100" s="111">
        <f t="shared" si="19"/>
        <v>0.44780257301891147</v>
      </c>
      <c r="R100" s="111">
        <f t="shared" si="19"/>
        <v>1</v>
      </c>
      <c r="S100" s="111">
        <f t="shared" si="19"/>
        <v>1</v>
      </c>
      <c r="T100" s="111">
        <f t="shared" si="19"/>
        <v>1</v>
      </c>
      <c r="U100" s="111">
        <f t="shared" si="19"/>
        <v>1</v>
      </c>
      <c r="V100" s="111">
        <f t="shared" si="19"/>
        <v>1</v>
      </c>
      <c r="W100" s="111">
        <f t="shared" si="19"/>
        <v>1</v>
      </c>
      <c r="X100" s="111">
        <f t="shared" si="19"/>
        <v>1</v>
      </c>
      <c r="Y100" s="111">
        <f t="shared" si="19"/>
        <v>1</v>
      </c>
      <c r="AQ100" s="3"/>
    </row>
    <row r="101" spans="5:43" x14ac:dyDescent="0.25">
      <c r="F101" s="28" t="s">
        <v>452</v>
      </c>
      <c r="G101" s="28" t="s">
        <v>212</v>
      </c>
      <c r="J101" s="98">
        <f t="shared" ref="J101:Y101" si="20">J97 * (1 - J99)</f>
        <v>26233.563058191648</v>
      </c>
      <c r="K101" s="98">
        <f t="shared" si="20"/>
        <v>0</v>
      </c>
      <c r="L101" s="98">
        <f t="shared" si="20"/>
        <v>469.47909808756754</v>
      </c>
      <c r="M101" s="98">
        <f t="shared" si="20"/>
        <v>0</v>
      </c>
      <c r="N101" s="98">
        <f t="shared" si="20"/>
        <v>50.245544790932748</v>
      </c>
      <c r="O101" s="98">
        <f t="shared" si="20"/>
        <v>0</v>
      </c>
      <c r="P101" s="98">
        <f t="shared" si="20"/>
        <v>0</v>
      </c>
      <c r="Q101" s="98">
        <f t="shared" si="20"/>
        <v>0</v>
      </c>
      <c r="R101" s="98">
        <f t="shared" si="20"/>
        <v>0</v>
      </c>
      <c r="S101" s="98">
        <f t="shared" si="20"/>
        <v>0</v>
      </c>
      <c r="T101" s="98">
        <f t="shared" si="20"/>
        <v>0</v>
      </c>
      <c r="U101" s="98">
        <f t="shared" si="20"/>
        <v>0</v>
      </c>
      <c r="V101" s="98">
        <f t="shared" si="20"/>
        <v>0</v>
      </c>
      <c r="W101" s="98">
        <f t="shared" si="20"/>
        <v>0</v>
      </c>
      <c r="X101" s="98">
        <f t="shared" si="20"/>
        <v>0</v>
      </c>
      <c r="Y101" s="98">
        <f t="shared" si="20"/>
        <v>0</v>
      </c>
      <c r="AQ101" s="3"/>
    </row>
    <row r="102" spans="5:43" x14ac:dyDescent="0.25">
      <c r="F102" s="67" t="s">
        <v>453</v>
      </c>
      <c r="G102" s="67" t="s">
        <v>212</v>
      </c>
      <c r="H102" s="37"/>
      <c r="I102" s="37"/>
      <c r="J102" s="100">
        <f t="shared" ref="J102:Y102" si="21">J98 * (1 - J100)</f>
        <v>46722.883390954958</v>
      </c>
      <c r="K102" s="100">
        <f t="shared" si="21"/>
        <v>0</v>
      </c>
      <c r="L102" s="100">
        <f t="shared" si="21"/>
        <v>1108.3435121796488</v>
      </c>
      <c r="M102" s="100">
        <f t="shared" si="21"/>
        <v>0</v>
      </c>
      <c r="N102" s="100">
        <f t="shared" si="21"/>
        <v>257.18007891472871</v>
      </c>
      <c r="O102" s="100">
        <f t="shared" si="21"/>
        <v>21.670373225814199</v>
      </c>
      <c r="P102" s="100">
        <f t="shared" si="21"/>
        <v>41.471371759159979</v>
      </c>
      <c r="Q102" s="100">
        <f t="shared" si="21"/>
        <v>0</v>
      </c>
      <c r="R102" s="100">
        <f t="shared" si="21"/>
        <v>0</v>
      </c>
      <c r="S102" s="100">
        <f t="shared" si="21"/>
        <v>0</v>
      </c>
      <c r="T102" s="100">
        <f t="shared" si="21"/>
        <v>0</v>
      </c>
      <c r="U102" s="100">
        <f t="shared" si="21"/>
        <v>0</v>
      </c>
      <c r="V102" s="100">
        <f t="shared" si="21"/>
        <v>0</v>
      </c>
      <c r="W102" s="100">
        <f t="shared" si="21"/>
        <v>0</v>
      </c>
      <c r="X102" s="100">
        <f t="shared" si="21"/>
        <v>0</v>
      </c>
      <c r="Y102" s="100">
        <f t="shared" si="21"/>
        <v>0</v>
      </c>
      <c r="AQ102" s="3"/>
    </row>
    <row r="103" spans="5:43" x14ac:dyDescent="0.25">
      <c r="F103" s="28" t="s">
        <v>454</v>
      </c>
      <c r="G103" s="28" t="s">
        <v>212</v>
      </c>
      <c r="J103" s="121">
        <f t="shared" ref="J103:Y103" si="22">J96 + J101 + J102</f>
        <v>2550470.1642928589</v>
      </c>
      <c r="K103" s="121">
        <f t="shared" si="22"/>
        <v>0</v>
      </c>
      <c r="L103" s="121">
        <f t="shared" si="22"/>
        <v>187147.43160675137</v>
      </c>
      <c r="M103" s="121">
        <f t="shared" si="22"/>
        <v>0</v>
      </c>
      <c r="N103" s="121">
        <f t="shared" si="22"/>
        <v>15647.701878098003</v>
      </c>
      <c r="O103" s="121">
        <f t="shared" si="22"/>
        <v>480.9458034931813</v>
      </c>
      <c r="P103" s="121">
        <f t="shared" si="22"/>
        <v>3395.8469925859049</v>
      </c>
      <c r="Q103" s="121">
        <f t="shared" si="22"/>
        <v>31.606325583497927</v>
      </c>
      <c r="R103" s="121">
        <f t="shared" si="22"/>
        <v>0</v>
      </c>
      <c r="S103" s="121">
        <f t="shared" si="22"/>
        <v>0</v>
      </c>
      <c r="T103" s="121">
        <f t="shared" si="22"/>
        <v>737.24112185551337</v>
      </c>
      <c r="U103" s="121">
        <f t="shared" si="22"/>
        <v>0</v>
      </c>
      <c r="V103" s="121">
        <f t="shared" si="22"/>
        <v>52.799295590310457</v>
      </c>
      <c r="W103" s="121">
        <f t="shared" si="22"/>
        <v>0</v>
      </c>
      <c r="X103" s="121">
        <f t="shared" si="22"/>
        <v>465.20466013888074</v>
      </c>
      <c r="Y103" s="121">
        <f t="shared" si="22"/>
        <v>0</v>
      </c>
      <c r="AQ103" s="3"/>
    </row>
    <row r="104" spans="5:43" x14ac:dyDescent="0.25">
      <c r="E104" s="32"/>
      <c r="J104" s="89"/>
      <c r="K104" s="89"/>
      <c r="L104" s="89"/>
      <c r="M104" s="89"/>
      <c r="N104" s="89"/>
      <c r="O104" s="89"/>
      <c r="P104" s="89"/>
      <c r="Q104" s="89"/>
      <c r="R104" s="89"/>
      <c r="S104" s="89"/>
      <c r="T104" s="89"/>
      <c r="U104" s="89"/>
      <c r="V104" s="89"/>
      <c r="W104" s="89"/>
      <c r="X104" s="89"/>
      <c r="Y104" s="89"/>
      <c r="AQ104" s="3"/>
    </row>
    <row r="105" spans="5:43" x14ac:dyDescent="0.25">
      <c r="E105" s="32" t="s">
        <v>250</v>
      </c>
      <c r="I105" t="s">
        <v>154</v>
      </c>
      <c r="J105" s="89"/>
      <c r="K105" s="89"/>
      <c r="L105" s="89"/>
      <c r="M105" s="89"/>
      <c r="N105" s="89"/>
      <c r="O105" s="89"/>
      <c r="P105" s="89"/>
      <c r="Q105" s="89"/>
      <c r="R105" s="89"/>
      <c r="S105" s="89"/>
      <c r="T105" s="89"/>
      <c r="U105" s="89"/>
      <c r="V105" s="89"/>
      <c r="W105" s="89"/>
      <c r="X105" s="89"/>
      <c r="Y105" s="89"/>
      <c r="AA105" t="s">
        <v>309</v>
      </c>
      <c r="AQ105" s="3"/>
    </row>
    <row r="106" spans="5:43" x14ac:dyDescent="0.25">
      <c r="E106" s="32"/>
      <c r="J106" s="89"/>
      <c r="K106" s="89"/>
      <c r="L106" s="89"/>
      <c r="M106" s="89"/>
      <c r="N106" s="89"/>
      <c r="O106" s="89"/>
      <c r="P106" s="89"/>
      <c r="Q106" s="89"/>
      <c r="R106" s="89"/>
      <c r="S106" s="89"/>
      <c r="T106" s="89"/>
      <c r="U106" s="89"/>
      <c r="V106" s="89"/>
      <c r="W106" s="89"/>
      <c r="X106" s="89"/>
      <c r="Y106" s="89"/>
      <c r="AQ106" s="3"/>
    </row>
    <row r="107" spans="5:43" x14ac:dyDescent="0.25">
      <c r="F107" s="28" t="s">
        <v>447</v>
      </c>
      <c r="G107" s="28" t="s">
        <v>251</v>
      </c>
      <c r="J107" s="120">
        <f>'Inputs by customer type'!J25</f>
        <v>0</v>
      </c>
      <c r="K107" s="120">
        <f>'Inputs by customer type'!K25</f>
        <v>0</v>
      </c>
      <c r="L107" s="120">
        <f>'Inputs by customer type'!L25</f>
        <v>0</v>
      </c>
      <c r="M107" s="120">
        <f>'Inputs by customer type'!M25</f>
        <v>0</v>
      </c>
      <c r="N107" s="120">
        <f>'Inputs by customer type'!N25</f>
        <v>2030032.333333334</v>
      </c>
      <c r="O107" s="120">
        <f>'Inputs by customer type'!O25</f>
        <v>145993.66666666666</v>
      </c>
      <c r="P107" s="120">
        <f>'Inputs by customer type'!P25</f>
        <v>2724720.666666666</v>
      </c>
      <c r="Q107" s="120">
        <f>'Inputs by customer type'!Q25</f>
        <v>0</v>
      </c>
      <c r="R107" s="120">
        <f>'Inputs by customer type'!R25</f>
        <v>0</v>
      </c>
      <c r="S107" s="120">
        <f>'Inputs by customer type'!S25</f>
        <v>0</v>
      </c>
      <c r="T107" s="120">
        <f>'Inputs by customer type'!T25</f>
        <v>0</v>
      </c>
      <c r="U107" s="120">
        <f>'Inputs by customer type'!U25</f>
        <v>0</v>
      </c>
      <c r="V107" s="120">
        <f>'Inputs by customer type'!V25</f>
        <v>0</v>
      </c>
      <c r="W107" s="120">
        <f>'Inputs by customer type'!W25</f>
        <v>0</v>
      </c>
      <c r="X107" s="120">
        <f>'Inputs by customer type'!X25</f>
        <v>0</v>
      </c>
      <c r="Y107" s="120">
        <f>'Inputs by customer type'!Y25</f>
        <v>0</v>
      </c>
      <c r="AQ107" s="3"/>
    </row>
    <row r="108" spans="5:43" x14ac:dyDescent="0.25">
      <c r="F108" s="28" t="s">
        <v>448</v>
      </c>
      <c r="G108" s="28" t="s">
        <v>251</v>
      </c>
      <c r="J108" s="120">
        <f>'Inputs by customer type'!J34</f>
        <v>0</v>
      </c>
      <c r="K108" s="120">
        <f>'Inputs by customer type'!K34</f>
        <v>0</v>
      </c>
      <c r="L108" s="120">
        <f>'Inputs by customer type'!L34</f>
        <v>0</v>
      </c>
      <c r="M108" s="120">
        <f>'Inputs by customer type'!M34</f>
        <v>0</v>
      </c>
      <c r="N108" s="120">
        <f>'Inputs by customer type'!N34</f>
        <v>13243.8451044416</v>
      </c>
      <c r="O108" s="120">
        <f>'Inputs by customer type'!O34</f>
        <v>0</v>
      </c>
      <c r="P108" s="120">
        <f>'Inputs by customer type'!P34</f>
        <v>0</v>
      </c>
      <c r="Q108" s="120">
        <f>'Inputs by customer type'!Q34</f>
        <v>0</v>
      </c>
      <c r="R108" s="120">
        <f>'Inputs by customer type'!R34</f>
        <v>0</v>
      </c>
      <c r="S108" s="120">
        <f>'Inputs by customer type'!S34</f>
        <v>0</v>
      </c>
      <c r="T108" s="120">
        <f>'Inputs by customer type'!T34</f>
        <v>0</v>
      </c>
      <c r="U108" s="120">
        <f>'Inputs by customer type'!U34</f>
        <v>0</v>
      </c>
      <c r="V108" s="120">
        <f>'Inputs by customer type'!V34</f>
        <v>0</v>
      </c>
      <c r="W108" s="120">
        <f>'Inputs by customer type'!W34</f>
        <v>0</v>
      </c>
      <c r="X108" s="120">
        <f>'Inputs by customer type'!X34</f>
        <v>0</v>
      </c>
      <c r="Y108" s="120">
        <f>'Inputs by customer type'!Y34</f>
        <v>0</v>
      </c>
      <c r="AQ108" s="3"/>
    </row>
    <row r="109" spans="5:43" x14ac:dyDescent="0.25">
      <c r="F109" s="28" t="s">
        <v>449</v>
      </c>
      <c r="G109" s="28" t="s">
        <v>251</v>
      </c>
      <c r="J109" s="120">
        <f>'Inputs by customer type'!J43</f>
        <v>0</v>
      </c>
      <c r="K109" s="120">
        <f>'Inputs by customer type'!K43</f>
        <v>0</v>
      </c>
      <c r="L109" s="120">
        <f>'Inputs by customer type'!L43</f>
        <v>0</v>
      </c>
      <c r="M109" s="120">
        <f>'Inputs by customer type'!M43</f>
        <v>0</v>
      </c>
      <c r="N109" s="120">
        <f>'Inputs by customer type'!N43</f>
        <v>127077.87784359198</v>
      </c>
      <c r="O109" s="120">
        <f>'Inputs by customer type'!O43</f>
        <v>18844.380594708073</v>
      </c>
      <c r="P109" s="120">
        <f>'Inputs by customer type'!P43</f>
        <v>68248.276149509649</v>
      </c>
      <c r="Q109" s="120">
        <f>'Inputs by customer type'!Q43</f>
        <v>0</v>
      </c>
      <c r="R109" s="120">
        <f>'Inputs by customer type'!R43</f>
        <v>0</v>
      </c>
      <c r="S109" s="120">
        <f>'Inputs by customer type'!S43</f>
        <v>0</v>
      </c>
      <c r="T109" s="120">
        <f>'Inputs by customer type'!T43</f>
        <v>0</v>
      </c>
      <c r="U109" s="120">
        <f>'Inputs by customer type'!U43</f>
        <v>0</v>
      </c>
      <c r="V109" s="120">
        <f>'Inputs by customer type'!V43</f>
        <v>0</v>
      </c>
      <c r="W109" s="120">
        <f>'Inputs by customer type'!W43</f>
        <v>0</v>
      </c>
      <c r="X109" s="120">
        <f>'Inputs by customer type'!X43</f>
        <v>0</v>
      </c>
      <c r="Y109" s="120">
        <f>'Inputs by customer type'!Y43</f>
        <v>0</v>
      </c>
      <c r="AQ109" s="3"/>
    </row>
    <row r="110" spans="5:43" x14ac:dyDescent="0.25">
      <c r="F110" s="28" t="s">
        <v>450</v>
      </c>
      <c r="G110" s="28" t="s">
        <v>167</v>
      </c>
      <c r="J110" s="111">
        <f t="shared" ref="J110:Y110" si="23">IF(J$41, J$47, J$34)</f>
        <v>0.30508437792432874</v>
      </c>
      <c r="K110" s="111">
        <f t="shared" si="23"/>
        <v>0.30508437792432874</v>
      </c>
      <c r="L110" s="111">
        <f t="shared" si="23"/>
        <v>0.30508437792432874</v>
      </c>
      <c r="M110" s="111">
        <f t="shared" si="23"/>
        <v>0.30508437792432874</v>
      </c>
      <c r="N110" s="111">
        <f t="shared" si="23"/>
        <v>0.30508437792432874</v>
      </c>
      <c r="O110" s="111">
        <f t="shared" si="23"/>
        <v>0</v>
      </c>
      <c r="P110" s="111">
        <f t="shared" si="23"/>
        <v>0</v>
      </c>
      <c r="Q110" s="111">
        <f t="shared" si="23"/>
        <v>0.30508437792432874</v>
      </c>
      <c r="R110" s="111">
        <f t="shared" si="23"/>
        <v>0</v>
      </c>
      <c r="S110" s="111">
        <f t="shared" si="23"/>
        <v>0</v>
      </c>
      <c r="T110" s="111">
        <f t="shared" si="23"/>
        <v>0</v>
      </c>
      <c r="U110" s="111">
        <f t="shared" si="23"/>
        <v>0</v>
      </c>
      <c r="V110" s="111">
        <f t="shared" si="23"/>
        <v>0</v>
      </c>
      <c r="W110" s="111">
        <f t="shared" si="23"/>
        <v>0</v>
      </c>
      <c r="X110" s="111">
        <f t="shared" si="23"/>
        <v>0</v>
      </c>
      <c r="Y110" s="111">
        <f t="shared" si="23"/>
        <v>0</v>
      </c>
      <c r="AQ110" s="3"/>
    </row>
    <row r="111" spans="5:43" x14ac:dyDescent="0.25">
      <c r="F111" s="28" t="s">
        <v>451</v>
      </c>
      <c r="G111" s="28" t="s">
        <v>167</v>
      </c>
      <c r="J111" s="111">
        <f t="shared" ref="J111:Y111" si="24">IF(J$41, J$47, J$35)</f>
        <v>0.44780257301891147</v>
      </c>
      <c r="K111" s="111">
        <f t="shared" si="24"/>
        <v>0.44780257301891147</v>
      </c>
      <c r="L111" s="111">
        <f t="shared" si="24"/>
        <v>0.44780257301891147</v>
      </c>
      <c r="M111" s="111">
        <f t="shared" si="24"/>
        <v>0.44780257301891147</v>
      </c>
      <c r="N111" s="111">
        <f t="shared" si="24"/>
        <v>0.44780257301891147</v>
      </c>
      <c r="O111" s="111">
        <f t="shared" si="24"/>
        <v>0.19276050688918686</v>
      </c>
      <c r="P111" s="111">
        <f t="shared" si="24"/>
        <v>8.4660626570948555E-2</v>
      </c>
      <c r="Q111" s="111">
        <f t="shared" si="24"/>
        <v>0.44780257301891147</v>
      </c>
      <c r="R111" s="111">
        <f t="shared" si="24"/>
        <v>0</v>
      </c>
      <c r="S111" s="111">
        <f t="shared" si="24"/>
        <v>0</v>
      </c>
      <c r="T111" s="111">
        <f t="shared" si="24"/>
        <v>0</v>
      </c>
      <c r="U111" s="111">
        <f t="shared" si="24"/>
        <v>0</v>
      </c>
      <c r="V111" s="111">
        <f t="shared" si="24"/>
        <v>0</v>
      </c>
      <c r="W111" s="111">
        <f t="shared" si="24"/>
        <v>0</v>
      </c>
      <c r="X111" s="111">
        <f t="shared" si="24"/>
        <v>0</v>
      </c>
      <c r="Y111" s="111">
        <f t="shared" si="24"/>
        <v>0</v>
      </c>
      <c r="AQ111" s="3"/>
    </row>
    <row r="112" spans="5:43" x14ac:dyDescent="0.25">
      <c r="F112" s="28" t="s">
        <v>452</v>
      </c>
      <c r="G112" s="28" t="s">
        <v>251</v>
      </c>
      <c r="J112" s="98">
        <f t="shared" ref="J112:Y112" si="25">J108 * (1 - J110)</f>
        <v>0</v>
      </c>
      <c r="K112" s="98">
        <f t="shared" si="25"/>
        <v>0</v>
      </c>
      <c r="L112" s="98">
        <f t="shared" si="25"/>
        <v>0</v>
      </c>
      <c r="M112" s="98">
        <f t="shared" si="25"/>
        <v>0</v>
      </c>
      <c r="N112" s="98">
        <f t="shared" si="25"/>
        <v>9203.3548594268668</v>
      </c>
      <c r="O112" s="98">
        <f t="shared" si="25"/>
        <v>0</v>
      </c>
      <c r="P112" s="98">
        <f t="shared" si="25"/>
        <v>0</v>
      </c>
      <c r="Q112" s="98">
        <f t="shared" si="25"/>
        <v>0</v>
      </c>
      <c r="R112" s="98">
        <f t="shared" si="25"/>
        <v>0</v>
      </c>
      <c r="S112" s="98">
        <f t="shared" si="25"/>
        <v>0</v>
      </c>
      <c r="T112" s="98">
        <f t="shared" si="25"/>
        <v>0</v>
      </c>
      <c r="U112" s="98">
        <f t="shared" si="25"/>
        <v>0</v>
      </c>
      <c r="V112" s="98">
        <f t="shared" si="25"/>
        <v>0</v>
      </c>
      <c r="W112" s="98">
        <f t="shared" si="25"/>
        <v>0</v>
      </c>
      <c r="X112" s="98">
        <f t="shared" si="25"/>
        <v>0</v>
      </c>
      <c r="Y112" s="98">
        <f t="shared" si="25"/>
        <v>0</v>
      </c>
      <c r="AQ112" s="3"/>
    </row>
    <row r="113" spans="5:43" x14ac:dyDescent="0.25">
      <c r="F113" s="67" t="s">
        <v>453</v>
      </c>
      <c r="G113" s="67" t="s">
        <v>251</v>
      </c>
      <c r="H113" s="37"/>
      <c r="I113" s="37"/>
      <c r="J113" s="100">
        <f t="shared" ref="J113:Y113" si="26">J109 * (1 - J111)</f>
        <v>0</v>
      </c>
      <c r="K113" s="100">
        <f t="shared" si="26"/>
        <v>0</v>
      </c>
      <c r="L113" s="100">
        <f t="shared" si="26"/>
        <v>0</v>
      </c>
      <c r="M113" s="100">
        <f t="shared" si="26"/>
        <v>0</v>
      </c>
      <c r="N113" s="100">
        <f t="shared" si="26"/>
        <v>70172.077171448575</v>
      </c>
      <c r="O113" s="100">
        <f t="shared" si="26"/>
        <v>15211.928239259387</v>
      </c>
      <c r="P113" s="100">
        <f t="shared" si="26"/>
        <v>62470.334328305042</v>
      </c>
      <c r="Q113" s="100">
        <f t="shared" si="26"/>
        <v>0</v>
      </c>
      <c r="R113" s="100">
        <f t="shared" si="26"/>
        <v>0</v>
      </c>
      <c r="S113" s="100">
        <f t="shared" si="26"/>
        <v>0</v>
      </c>
      <c r="T113" s="100">
        <f t="shared" si="26"/>
        <v>0</v>
      </c>
      <c r="U113" s="100">
        <f t="shared" si="26"/>
        <v>0</v>
      </c>
      <c r="V113" s="100">
        <f t="shared" si="26"/>
        <v>0</v>
      </c>
      <c r="W113" s="100">
        <f t="shared" si="26"/>
        <v>0</v>
      </c>
      <c r="X113" s="100">
        <f t="shared" si="26"/>
        <v>0</v>
      </c>
      <c r="Y113" s="100">
        <f t="shared" si="26"/>
        <v>0</v>
      </c>
      <c r="AQ113" s="3"/>
    </row>
    <row r="114" spans="5:43" x14ac:dyDescent="0.25">
      <c r="F114" s="28" t="s">
        <v>454</v>
      </c>
      <c r="G114" s="28" t="s">
        <v>251</v>
      </c>
      <c r="J114" s="121">
        <f t="shared" ref="J114:Y114" si="27">J107 + J112 + J113</f>
        <v>0</v>
      </c>
      <c r="K114" s="121">
        <f t="shared" si="27"/>
        <v>0</v>
      </c>
      <c r="L114" s="121">
        <f t="shared" si="27"/>
        <v>0</v>
      </c>
      <c r="M114" s="121">
        <f t="shared" si="27"/>
        <v>0</v>
      </c>
      <c r="N114" s="121">
        <f t="shared" si="27"/>
        <v>2109407.7653642092</v>
      </c>
      <c r="O114" s="121">
        <f t="shared" si="27"/>
        <v>161205.59490592603</v>
      </c>
      <c r="P114" s="121">
        <f t="shared" si="27"/>
        <v>2787191.000994971</v>
      </c>
      <c r="Q114" s="121">
        <f t="shared" si="27"/>
        <v>0</v>
      </c>
      <c r="R114" s="121">
        <f t="shared" si="27"/>
        <v>0</v>
      </c>
      <c r="S114" s="121">
        <f t="shared" si="27"/>
        <v>0</v>
      </c>
      <c r="T114" s="121">
        <f t="shared" si="27"/>
        <v>0</v>
      </c>
      <c r="U114" s="121">
        <f t="shared" si="27"/>
        <v>0</v>
      </c>
      <c r="V114" s="121">
        <f t="shared" si="27"/>
        <v>0</v>
      </c>
      <c r="W114" s="121">
        <f t="shared" si="27"/>
        <v>0</v>
      </c>
      <c r="X114" s="121">
        <f t="shared" si="27"/>
        <v>0</v>
      </c>
      <c r="Y114" s="121">
        <f t="shared" si="27"/>
        <v>0</v>
      </c>
      <c r="AQ114" s="3"/>
    </row>
    <row r="115" spans="5:43" x14ac:dyDescent="0.25">
      <c r="E115" s="32"/>
      <c r="J115" s="89"/>
      <c r="K115" s="89"/>
      <c r="L115" s="89"/>
      <c r="M115" s="89"/>
      <c r="N115" s="89"/>
      <c r="O115" s="89"/>
      <c r="P115" s="89"/>
      <c r="Q115" s="89"/>
      <c r="R115" s="89"/>
      <c r="S115" s="89"/>
      <c r="T115" s="89"/>
      <c r="U115" s="89"/>
      <c r="V115" s="89"/>
      <c r="W115" s="89"/>
      <c r="X115" s="89"/>
      <c r="Y115" s="89"/>
      <c r="AQ115" s="3"/>
    </row>
    <row r="116" spans="5:43" x14ac:dyDescent="0.25">
      <c r="E116" s="32" t="s">
        <v>252</v>
      </c>
      <c r="I116" t="s">
        <v>154</v>
      </c>
      <c r="J116" s="89"/>
      <c r="K116" s="89"/>
      <c r="L116" s="89"/>
      <c r="M116" s="89"/>
      <c r="N116" s="89"/>
      <c r="O116" s="89"/>
      <c r="P116" s="89"/>
      <c r="Q116" s="89"/>
      <c r="R116" s="89"/>
      <c r="S116" s="89"/>
      <c r="T116" s="89"/>
      <c r="U116" s="89"/>
      <c r="V116" s="89"/>
      <c r="W116" s="89"/>
      <c r="X116" s="89"/>
      <c r="Y116" s="89"/>
      <c r="AA116" t="s">
        <v>309</v>
      </c>
      <c r="AQ116" s="3"/>
    </row>
    <row r="117" spans="5:43" x14ac:dyDescent="0.25">
      <c r="E117" s="32"/>
      <c r="J117" s="89"/>
      <c r="K117" s="89"/>
      <c r="L117" s="89"/>
      <c r="M117" s="89"/>
      <c r="N117" s="89"/>
      <c r="O117" s="89"/>
      <c r="P117" s="89"/>
      <c r="Q117" s="89"/>
      <c r="R117" s="89"/>
      <c r="S117" s="89"/>
      <c r="T117" s="89"/>
      <c r="U117" s="89"/>
      <c r="V117" s="89"/>
      <c r="W117" s="89"/>
      <c r="X117" s="89"/>
      <c r="Y117" s="89"/>
      <c r="AQ117" s="3"/>
    </row>
    <row r="118" spans="5:43" x14ac:dyDescent="0.25">
      <c r="F118" s="28" t="s">
        <v>447</v>
      </c>
      <c r="G118" s="28" t="s">
        <v>251</v>
      </c>
      <c r="J118" s="120">
        <f>'Inputs by customer type'!J26</f>
        <v>0</v>
      </c>
      <c r="K118" s="120">
        <f>'Inputs by customer type'!K26</f>
        <v>0</v>
      </c>
      <c r="L118" s="120">
        <f>'Inputs by customer type'!L26</f>
        <v>0</v>
      </c>
      <c r="M118" s="120">
        <f>'Inputs by customer type'!M26</f>
        <v>0</v>
      </c>
      <c r="N118" s="120">
        <f>'Inputs by customer type'!N26</f>
        <v>35413.466622889064</v>
      </c>
      <c r="O118" s="120">
        <f>'Inputs by customer type'!O26</f>
        <v>2300.8761139243957</v>
      </c>
      <c r="P118" s="120">
        <f>'Inputs by customer type'!P26</f>
        <v>45458.070512389117</v>
      </c>
      <c r="Q118" s="120">
        <f>'Inputs by customer type'!Q26</f>
        <v>0</v>
      </c>
      <c r="R118" s="120">
        <f>'Inputs by customer type'!R26</f>
        <v>0</v>
      </c>
      <c r="S118" s="120">
        <f>'Inputs by customer type'!S26</f>
        <v>0</v>
      </c>
      <c r="T118" s="120">
        <f>'Inputs by customer type'!T26</f>
        <v>0</v>
      </c>
      <c r="U118" s="120">
        <f>'Inputs by customer type'!U26</f>
        <v>0</v>
      </c>
      <c r="V118" s="120">
        <f>'Inputs by customer type'!V26</f>
        <v>0</v>
      </c>
      <c r="W118" s="120">
        <f>'Inputs by customer type'!W26</f>
        <v>0</v>
      </c>
      <c r="X118" s="120">
        <f>'Inputs by customer type'!X26</f>
        <v>0</v>
      </c>
      <c r="Y118" s="120">
        <f>'Inputs by customer type'!Y26</f>
        <v>0</v>
      </c>
      <c r="AQ118" s="3"/>
    </row>
    <row r="119" spans="5:43" x14ac:dyDescent="0.25">
      <c r="F119" s="28" t="s">
        <v>448</v>
      </c>
      <c r="G119" s="28" t="s">
        <v>251</v>
      </c>
      <c r="J119" s="120">
        <f>'Inputs by customer type'!J35</f>
        <v>0</v>
      </c>
      <c r="K119" s="120">
        <f>'Inputs by customer type'!K35</f>
        <v>0</v>
      </c>
      <c r="L119" s="120">
        <f>'Inputs by customer type'!L35</f>
        <v>0</v>
      </c>
      <c r="M119" s="120">
        <f>'Inputs by customer type'!M35</f>
        <v>0</v>
      </c>
      <c r="N119" s="120">
        <f>'Inputs by customer type'!N35</f>
        <v>35.71225127183866</v>
      </c>
      <c r="O119" s="120">
        <f>'Inputs by customer type'!O35</f>
        <v>0</v>
      </c>
      <c r="P119" s="120">
        <f>'Inputs by customer type'!P35</f>
        <v>0</v>
      </c>
      <c r="Q119" s="120">
        <f>'Inputs by customer type'!Q35</f>
        <v>0</v>
      </c>
      <c r="R119" s="120">
        <f>'Inputs by customer type'!R35</f>
        <v>0</v>
      </c>
      <c r="S119" s="120">
        <f>'Inputs by customer type'!S35</f>
        <v>0</v>
      </c>
      <c r="T119" s="120">
        <f>'Inputs by customer type'!T35</f>
        <v>0</v>
      </c>
      <c r="U119" s="120">
        <f>'Inputs by customer type'!U35</f>
        <v>0</v>
      </c>
      <c r="V119" s="120">
        <f>'Inputs by customer type'!V35</f>
        <v>0</v>
      </c>
      <c r="W119" s="120">
        <f>'Inputs by customer type'!W35</f>
        <v>0</v>
      </c>
      <c r="X119" s="120">
        <f>'Inputs by customer type'!X35</f>
        <v>0</v>
      </c>
      <c r="Y119" s="120">
        <f>'Inputs by customer type'!Y35</f>
        <v>0</v>
      </c>
      <c r="AQ119" s="3"/>
    </row>
    <row r="120" spans="5:43" x14ac:dyDescent="0.25">
      <c r="F120" s="28" t="s">
        <v>449</v>
      </c>
      <c r="G120" s="28" t="s">
        <v>251</v>
      </c>
      <c r="J120" s="120">
        <f>'Inputs by customer type'!J44</f>
        <v>0</v>
      </c>
      <c r="K120" s="120">
        <f>'Inputs by customer type'!K44</f>
        <v>0</v>
      </c>
      <c r="L120" s="120">
        <f>'Inputs by customer type'!L44</f>
        <v>0</v>
      </c>
      <c r="M120" s="120">
        <f>'Inputs by customer type'!M44</f>
        <v>0</v>
      </c>
      <c r="N120" s="120">
        <f>'Inputs by customer type'!N44</f>
        <v>395.82350265804985</v>
      </c>
      <c r="O120" s="120">
        <f>'Inputs by customer type'!O44</f>
        <v>81.929499611647657</v>
      </c>
      <c r="P120" s="120">
        <f>'Inputs by customer type'!P44</f>
        <v>45.714720712049029</v>
      </c>
      <c r="Q120" s="120">
        <f>'Inputs by customer type'!Q44</f>
        <v>0</v>
      </c>
      <c r="R120" s="120">
        <f>'Inputs by customer type'!R44</f>
        <v>0</v>
      </c>
      <c r="S120" s="120">
        <f>'Inputs by customer type'!S44</f>
        <v>0</v>
      </c>
      <c r="T120" s="120">
        <f>'Inputs by customer type'!T44</f>
        <v>0</v>
      </c>
      <c r="U120" s="120">
        <f>'Inputs by customer type'!U44</f>
        <v>0</v>
      </c>
      <c r="V120" s="120">
        <f>'Inputs by customer type'!V44</f>
        <v>0</v>
      </c>
      <c r="W120" s="120">
        <f>'Inputs by customer type'!W44</f>
        <v>0</v>
      </c>
      <c r="X120" s="120">
        <f>'Inputs by customer type'!X44</f>
        <v>0</v>
      </c>
      <c r="Y120" s="120">
        <f>'Inputs by customer type'!Y44</f>
        <v>0</v>
      </c>
      <c r="AQ120" s="3"/>
    </row>
    <row r="121" spans="5:43" x14ac:dyDescent="0.25">
      <c r="F121" s="28" t="s">
        <v>450</v>
      </c>
      <c r="G121" s="28" t="s">
        <v>167</v>
      </c>
      <c r="J121" s="111">
        <f t="shared" ref="J121:Y121" si="28">IF(J$42, J$48, J$34)</f>
        <v>0.30508437792432874</v>
      </c>
      <c r="K121" s="111">
        <f t="shared" si="28"/>
        <v>0.30508437792432874</v>
      </c>
      <c r="L121" s="111">
        <f t="shared" si="28"/>
        <v>0.30508437792432874</v>
      </c>
      <c r="M121" s="111">
        <f t="shared" si="28"/>
        <v>0.30508437792432874</v>
      </c>
      <c r="N121" s="111">
        <f t="shared" si="28"/>
        <v>0.30508437792432874</v>
      </c>
      <c r="O121" s="111">
        <f t="shared" si="28"/>
        <v>0</v>
      </c>
      <c r="P121" s="111">
        <f t="shared" si="28"/>
        <v>0</v>
      </c>
      <c r="Q121" s="111">
        <f t="shared" si="28"/>
        <v>0.30508437792432874</v>
      </c>
      <c r="R121" s="111">
        <f t="shared" si="28"/>
        <v>0</v>
      </c>
      <c r="S121" s="111">
        <f t="shared" si="28"/>
        <v>0</v>
      </c>
      <c r="T121" s="111">
        <f t="shared" si="28"/>
        <v>0</v>
      </c>
      <c r="U121" s="111">
        <f t="shared" si="28"/>
        <v>0</v>
      </c>
      <c r="V121" s="111">
        <f t="shared" si="28"/>
        <v>0</v>
      </c>
      <c r="W121" s="111">
        <f t="shared" si="28"/>
        <v>0</v>
      </c>
      <c r="X121" s="111">
        <f t="shared" si="28"/>
        <v>0</v>
      </c>
      <c r="Y121" s="111">
        <f t="shared" si="28"/>
        <v>0</v>
      </c>
      <c r="AQ121" s="3"/>
    </row>
    <row r="122" spans="5:43" x14ac:dyDescent="0.25">
      <c r="F122" s="28" t="s">
        <v>451</v>
      </c>
      <c r="G122" s="28" t="s">
        <v>167</v>
      </c>
      <c r="J122" s="111">
        <f t="shared" ref="J122:Y122" si="29">IF(J$42, J$48, J$35)</f>
        <v>0.44780257301891147</v>
      </c>
      <c r="K122" s="111">
        <f t="shared" si="29"/>
        <v>0.44780257301891147</v>
      </c>
      <c r="L122" s="111">
        <f t="shared" si="29"/>
        <v>0.44780257301891147</v>
      </c>
      <c r="M122" s="111">
        <f t="shared" si="29"/>
        <v>0.44780257301891147</v>
      </c>
      <c r="N122" s="111">
        <f t="shared" si="29"/>
        <v>0.44780257301891147</v>
      </c>
      <c r="O122" s="111">
        <f t="shared" si="29"/>
        <v>0.19276050688918686</v>
      </c>
      <c r="P122" s="111">
        <f t="shared" si="29"/>
        <v>8.4660626570948555E-2</v>
      </c>
      <c r="Q122" s="111">
        <f t="shared" si="29"/>
        <v>0.44780257301891147</v>
      </c>
      <c r="R122" s="111">
        <f t="shared" si="29"/>
        <v>0</v>
      </c>
      <c r="S122" s="111">
        <f t="shared" si="29"/>
        <v>0</v>
      </c>
      <c r="T122" s="111">
        <f t="shared" si="29"/>
        <v>0</v>
      </c>
      <c r="U122" s="111">
        <f t="shared" si="29"/>
        <v>0</v>
      </c>
      <c r="V122" s="111">
        <f t="shared" si="29"/>
        <v>0</v>
      </c>
      <c r="W122" s="111">
        <f t="shared" si="29"/>
        <v>0</v>
      </c>
      <c r="X122" s="111">
        <f t="shared" si="29"/>
        <v>0</v>
      </c>
      <c r="Y122" s="111">
        <f t="shared" si="29"/>
        <v>0</v>
      </c>
      <c r="AQ122" s="3"/>
    </row>
    <row r="123" spans="5:43" x14ac:dyDescent="0.25">
      <c r="F123" s="28" t="s">
        <v>452</v>
      </c>
      <c r="G123" s="28" t="s">
        <v>251</v>
      </c>
      <c r="J123" s="98">
        <f t="shared" ref="J123:Y123" si="30">J119 * (1 - J121)</f>
        <v>0</v>
      </c>
      <c r="K123" s="98">
        <f t="shared" si="30"/>
        <v>0</v>
      </c>
      <c r="L123" s="98">
        <f t="shared" si="30"/>
        <v>0</v>
      </c>
      <c r="M123" s="98">
        <f t="shared" si="30"/>
        <v>0</v>
      </c>
      <c r="N123" s="98">
        <f t="shared" si="30"/>
        <v>24.817001308292443</v>
      </c>
      <c r="O123" s="98">
        <f t="shared" si="30"/>
        <v>0</v>
      </c>
      <c r="P123" s="98">
        <f t="shared" si="30"/>
        <v>0</v>
      </c>
      <c r="Q123" s="98">
        <f t="shared" si="30"/>
        <v>0</v>
      </c>
      <c r="R123" s="98">
        <f t="shared" si="30"/>
        <v>0</v>
      </c>
      <c r="S123" s="98">
        <f t="shared" si="30"/>
        <v>0</v>
      </c>
      <c r="T123" s="98">
        <f t="shared" si="30"/>
        <v>0</v>
      </c>
      <c r="U123" s="98">
        <f t="shared" si="30"/>
        <v>0</v>
      </c>
      <c r="V123" s="98">
        <f t="shared" si="30"/>
        <v>0</v>
      </c>
      <c r="W123" s="98">
        <f t="shared" si="30"/>
        <v>0</v>
      </c>
      <c r="X123" s="98">
        <f t="shared" si="30"/>
        <v>0</v>
      </c>
      <c r="Y123" s="98">
        <f t="shared" si="30"/>
        <v>0</v>
      </c>
      <c r="AQ123" s="3"/>
    </row>
    <row r="124" spans="5:43" x14ac:dyDescent="0.25">
      <c r="F124" s="67" t="s">
        <v>453</v>
      </c>
      <c r="G124" s="67" t="s">
        <v>251</v>
      </c>
      <c r="H124" s="37"/>
      <c r="I124" s="37"/>
      <c r="J124" s="100">
        <f t="shared" ref="J124:Y124" si="31">J120 * (1 - J122)</f>
        <v>0</v>
      </c>
      <c r="K124" s="100">
        <f t="shared" si="31"/>
        <v>0</v>
      </c>
      <c r="L124" s="100">
        <f t="shared" si="31"/>
        <v>0</v>
      </c>
      <c r="M124" s="100">
        <f t="shared" si="31"/>
        <v>0</v>
      </c>
      <c r="N124" s="100">
        <f t="shared" si="31"/>
        <v>218.57271970641719</v>
      </c>
      <c r="O124" s="100">
        <f t="shared" si="31"/>
        <v>66.136727737329011</v>
      </c>
      <c r="P124" s="100">
        <f t="shared" si="31"/>
        <v>41.844483813051042</v>
      </c>
      <c r="Q124" s="100">
        <f t="shared" si="31"/>
        <v>0</v>
      </c>
      <c r="R124" s="100">
        <f t="shared" si="31"/>
        <v>0</v>
      </c>
      <c r="S124" s="100">
        <f t="shared" si="31"/>
        <v>0</v>
      </c>
      <c r="T124" s="100">
        <f t="shared" si="31"/>
        <v>0</v>
      </c>
      <c r="U124" s="100">
        <f t="shared" si="31"/>
        <v>0</v>
      </c>
      <c r="V124" s="100">
        <f t="shared" si="31"/>
        <v>0</v>
      </c>
      <c r="W124" s="100">
        <f t="shared" si="31"/>
        <v>0</v>
      </c>
      <c r="X124" s="100">
        <f t="shared" si="31"/>
        <v>0</v>
      </c>
      <c r="Y124" s="100">
        <f t="shared" si="31"/>
        <v>0</v>
      </c>
      <c r="AQ124" s="3"/>
    </row>
    <row r="125" spans="5:43" x14ac:dyDescent="0.25">
      <c r="F125" s="28" t="s">
        <v>454</v>
      </c>
      <c r="G125" s="28" t="s">
        <v>251</v>
      </c>
      <c r="J125" s="121">
        <f t="shared" ref="J125:Y125" si="32">J118 + J123 + J124</f>
        <v>0</v>
      </c>
      <c r="K125" s="121">
        <f t="shared" si="32"/>
        <v>0</v>
      </c>
      <c r="L125" s="121">
        <f t="shared" si="32"/>
        <v>0</v>
      </c>
      <c r="M125" s="121">
        <f t="shared" si="32"/>
        <v>0</v>
      </c>
      <c r="N125" s="121">
        <f t="shared" si="32"/>
        <v>35656.856343903775</v>
      </c>
      <c r="O125" s="121">
        <f t="shared" si="32"/>
        <v>2367.0128416617245</v>
      </c>
      <c r="P125" s="121">
        <f t="shared" si="32"/>
        <v>45499.914996202169</v>
      </c>
      <c r="Q125" s="121">
        <f t="shared" si="32"/>
        <v>0</v>
      </c>
      <c r="R125" s="121">
        <f t="shared" si="32"/>
        <v>0</v>
      </c>
      <c r="S125" s="121">
        <f t="shared" si="32"/>
        <v>0</v>
      </c>
      <c r="T125" s="121">
        <f t="shared" si="32"/>
        <v>0</v>
      </c>
      <c r="U125" s="121">
        <f t="shared" si="32"/>
        <v>0</v>
      </c>
      <c r="V125" s="121">
        <f t="shared" si="32"/>
        <v>0</v>
      </c>
      <c r="W125" s="121">
        <f t="shared" si="32"/>
        <v>0</v>
      </c>
      <c r="X125" s="121">
        <f t="shared" si="32"/>
        <v>0</v>
      </c>
      <c r="Y125" s="121">
        <f t="shared" si="32"/>
        <v>0</v>
      </c>
      <c r="AQ125" s="3"/>
    </row>
    <row r="126" spans="5:43" x14ac:dyDescent="0.25">
      <c r="E126" s="32"/>
      <c r="J126" s="89"/>
      <c r="K126" s="89"/>
      <c r="L126" s="89"/>
      <c r="M126" s="89"/>
      <c r="N126" s="89"/>
      <c r="O126" s="89"/>
      <c r="P126" s="89"/>
      <c r="Q126" s="89"/>
      <c r="R126" s="89"/>
      <c r="S126" s="89"/>
      <c r="T126" s="89"/>
      <c r="U126" s="89"/>
      <c r="V126" s="89"/>
      <c r="W126" s="89"/>
      <c r="X126" s="89"/>
      <c r="Y126" s="89"/>
      <c r="AQ126" s="3"/>
    </row>
    <row r="127" spans="5:43" x14ac:dyDescent="0.25">
      <c r="E127" s="32" t="s">
        <v>253</v>
      </c>
      <c r="I127" t="s">
        <v>154</v>
      </c>
      <c r="J127" s="89"/>
      <c r="K127" s="89"/>
      <c r="L127" s="89"/>
      <c r="M127" s="89"/>
      <c r="N127" s="89"/>
      <c r="O127" s="89"/>
      <c r="P127" s="89"/>
      <c r="Q127" s="89"/>
      <c r="R127" s="89"/>
      <c r="S127" s="89"/>
      <c r="T127" s="89"/>
      <c r="U127" s="89"/>
      <c r="V127" s="89"/>
      <c r="W127" s="89"/>
      <c r="X127" s="89"/>
      <c r="Y127" s="89"/>
      <c r="AA127" t="s">
        <v>309</v>
      </c>
      <c r="AQ127" s="3"/>
    </row>
    <row r="128" spans="5:43" x14ac:dyDescent="0.25">
      <c r="E128" s="32"/>
      <c r="J128" s="89"/>
      <c r="K128" s="89"/>
      <c r="L128" s="89"/>
      <c r="M128" s="89"/>
      <c r="N128" s="89"/>
      <c r="O128" s="89"/>
      <c r="P128" s="89"/>
      <c r="Q128" s="89"/>
      <c r="R128" s="89"/>
      <c r="S128" s="89"/>
      <c r="T128" s="89"/>
      <c r="U128" s="89"/>
      <c r="V128" s="89"/>
      <c r="W128" s="89"/>
      <c r="X128" s="89"/>
      <c r="Y128" s="89"/>
      <c r="AQ128" s="3"/>
    </row>
    <row r="129" spans="2:43" x14ac:dyDescent="0.25">
      <c r="F129" s="28" t="s">
        <v>447</v>
      </c>
      <c r="G129" s="28" t="s">
        <v>254</v>
      </c>
      <c r="J129" s="120">
        <f>'Inputs by customer type'!J27</f>
        <v>0</v>
      </c>
      <c r="K129" s="120">
        <f>'Inputs by customer type'!K27</f>
        <v>0</v>
      </c>
      <c r="L129" s="120">
        <f>'Inputs by customer type'!L27</f>
        <v>0</v>
      </c>
      <c r="M129" s="120">
        <f>'Inputs by customer type'!M27</f>
        <v>0</v>
      </c>
      <c r="N129" s="120">
        <f>'Inputs by customer type'!N27</f>
        <v>358169.51540509035</v>
      </c>
      <c r="O129" s="120">
        <f>'Inputs by customer type'!O27</f>
        <v>30403.575649655326</v>
      </c>
      <c r="P129" s="120">
        <f>'Inputs by customer type'!P27</f>
        <v>596771.25085227774</v>
      </c>
      <c r="Q129" s="120">
        <f>'Inputs by customer type'!Q27</f>
        <v>0</v>
      </c>
      <c r="R129" s="120">
        <f>'Inputs by customer type'!R27</f>
        <v>0</v>
      </c>
      <c r="S129" s="120">
        <f>'Inputs by customer type'!S27</f>
        <v>0</v>
      </c>
      <c r="T129" s="120">
        <f>'Inputs by customer type'!T27</f>
        <v>3718.6903349793351</v>
      </c>
      <c r="U129" s="120">
        <f>'Inputs by customer type'!U27</f>
        <v>0</v>
      </c>
      <c r="V129" s="120">
        <f>'Inputs by customer type'!V27</f>
        <v>530.87127369074199</v>
      </c>
      <c r="W129" s="120">
        <f>'Inputs by customer type'!W27</f>
        <v>0</v>
      </c>
      <c r="X129" s="120">
        <f>'Inputs by customer type'!X27</f>
        <v>17917.3014398864</v>
      </c>
      <c r="Y129" s="120">
        <f>'Inputs by customer type'!Y27</f>
        <v>0</v>
      </c>
      <c r="AQ129" s="3"/>
    </row>
    <row r="130" spans="2:43" x14ac:dyDescent="0.25">
      <c r="F130" s="28" t="s">
        <v>448</v>
      </c>
      <c r="G130" s="28" t="s">
        <v>254</v>
      </c>
      <c r="J130" s="120">
        <f>'Inputs by customer type'!J36</f>
        <v>0</v>
      </c>
      <c r="K130" s="120">
        <f>'Inputs by customer type'!K36</f>
        <v>0</v>
      </c>
      <c r="L130" s="120">
        <f>'Inputs by customer type'!L36</f>
        <v>0</v>
      </c>
      <c r="M130" s="120">
        <f>'Inputs by customer type'!M36</f>
        <v>0</v>
      </c>
      <c r="N130" s="120">
        <f>'Inputs by customer type'!N36</f>
        <v>1072.5010465766684</v>
      </c>
      <c r="O130" s="120">
        <f>'Inputs by customer type'!O36</f>
        <v>0</v>
      </c>
      <c r="P130" s="120">
        <f>'Inputs by customer type'!P36</f>
        <v>0</v>
      </c>
      <c r="Q130" s="120">
        <f>'Inputs by customer type'!Q36</f>
        <v>0</v>
      </c>
      <c r="R130" s="120">
        <f>'Inputs by customer type'!R36</f>
        <v>0</v>
      </c>
      <c r="S130" s="120">
        <f>'Inputs by customer type'!S36</f>
        <v>0</v>
      </c>
      <c r="T130" s="120">
        <f>'Inputs by customer type'!T36</f>
        <v>0</v>
      </c>
      <c r="U130" s="120">
        <f>'Inputs by customer type'!U36</f>
        <v>0</v>
      </c>
      <c r="V130" s="120">
        <f>'Inputs by customer type'!V36</f>
        <v>0</v>
      </c>
      <c r="W130" s="120">
        <f>'Inputs by customer type'!W36</f>
        <v>0</v>
      </c>
      <c r="X130" s="120">
        <f>'Inputs by customer type'!X36</f>
        <v>0</v>
      </c>
      <c r="Y130" s="120">
        <f>'Inputs by customer type'!Y36</f>
        <v>0</v>
      </c>
      <c r="AQ130" s="3"/>
    </row>
    <row r="131" spans="2:43" x14ac:dyDescent="0.25">
      <c r="F131" s="28" t="s">
        <v>449</v>
      </c>
      <c r="G131" s="28" t="s">
        <v>254</v>
      </c>
      <c r="J131" s="120">
        <f>'Inputs by customer type'!J45</f>
        <v>0</v>
      </c>
      <c r="K131" s="120">
        <f>'Inputs by customer type'!K45</f>
        <v>0</v>
      </c>
      <c r="L131" s="120">
        <f>'Inputs by customer type'!L45</f>
        <v>0</v>
      </c>
      <c r="M131" s="120">
        <f>'Inputs by customer type'!M45</f>
        <v>0</v>
      </c>
      <c r="N131" s="120">
        <f>'Inputs by customer type'!N45</f>
        <v>10517.879564364226</v>
      </c>
      <c r="O131" s="120">
        <f>'Inputs by customer type'!O45</f>
        <v>1752.5315182075358</v>
      </c>
      <c r="P131" s="120">
        <f>'Inputs by customer type'!P45</f>
        <v>2835.3537401066042</v>
      </c>
      <c r="Q131" s="120">
        <f>'Inputs by customer type'!Q45</f>
        <v>0</v>
      </c>
      <c r="R131" s="120">
        <f>'Inputs by customer type'!R45</f>
        <v>0</v>
      </c>
      <c r="S131" s="120">
        <f>'Inputs by customer type'!S45</f>
        <v>0</v>
      </c>
      <c r="T131" s="120">
        <f>'Inputs by customer type'!T45</f>
        <v>52.882358013030462</v>
      </c>
      <c r="U131" s="120">
        <f>'Inputs by customer type'!U45</f>
        <v>0</v>
      </c>
      <c r="V131" s="120">
        <f>'Inputs by customer type'!V45</f>
        <v>0</v>
      </c>
      <c r="W131" s="120">
        <f>'Inputs by customer type'!W45</f>
        <v>0</v>
      </c>
      <c r="X131" s="120">
        <f>'Inputs by customer type'!X45</f>
        <v>0</v>
      </c>
      <c r="Y131" s="120">
        <f>'Inputs by customer type'!Y45</f>
        <v>0</v>
      </c>
      <c r="AQ131" s="3"/>
    </row>
    <row r="132" spans="2:43" x14ac:dyDescent="0.25">
      <c r="F132" s="28" t="s">
        <v>450</v>
      </c>
      <c r="G132" s="28" t="s">
        <v>167</v>
      </c>
      <c r="J132" s="111">
        <f t="shared" ref="J132:Y132" si="33">IF(J$43, J$49, J$34)</f>
        <v>0.30508437792432874</v>
      </c>
      <c r="K132" s="111">
        <f t="shared" si="33"/>
        <v>0.30508437792432874</v>
      </c>
      <c r="L132" s="111">
        <f t="shared" si="33"/>
        <v>0.30508437792432874</v>
      </c>
      <c r="M132" s="111">
        <f t="shared" si="33"/>
        <v>0.30508437792432874</v>
      </c>
      <c r="N132" s="111">
        <f t="shared" si="33"/>
        <v>0.30508437792432874</v>
      </c>
      <c r="O132" s="111">
        <f t="shared" si="33"/>
        <v>0</v>
      </c>
      <c r="P132" s="111">
        <f t="shared" si="33"/>
        <v>0</v>
      </c>
      <c r="Q132" s="111">
        <f t="shared" si="33"/>
        <v>0.30508437792432874</v>
      </c>
      <c r="R132" s="111">
        <f t="shared" si="33"/>
        <v>0</v>
      </c>
      <c r="S132" s="111">
        <f t="shared" si="33"/>
        <v>0</v>
      </c>
      <c r="T132" s="111">
        <f t="shared" si="33"/>
        <v>0</v>
      </c>
      <c r="U132" s="111">
        <f t="shared" si="33"/>
        <v>0</v>
      </c>
      <c r="V132" s="111">
        <f t="shared" si="33"/>
        <v>0</v>
      </c>
      <c r="W132" s="111">
        <f t="shared" si="33"/>
        <v>0</v>
      </c>
      <c r="X132" s="111">
        <f t="shared" si="33"/>
        <v>0</v>
      </c>
      <c r="Y132" s="111">
        <f t="shared" si="33"/>
        <v>0</v>
      </c>
      <c r="AQ132" s="3"/>
    </row>
    <row r="133" spans="2:43" x14ac:dyDescent="0.25">
      <c r="F133" s="28" t="s">
        <v>451</v>
      </c>
      <c r="G133" s="28" t="s">
        <v>167</v>
      </c>
      <c r="J133" s="111">
        <f t="shared" ref="J133:Y133" si="34">IF(J$43, J$49, J$35)</f>
        <v>0.44780257301891147</v>
      </c>
      <c r="K133" s="111">
        <f t="shared" si="34"/>
        <v>0.44780257301891147</v>
      </c>
      <c r="L133" s="111">
        <f t="shared" si="34"/>
        <v>0.44780257301891147</v>
      </c>
      <c r="M133" s="111">
        <f t="shared" si="34"/>
        <v>0.44780257301891147</v>
      </c>
      <c r="N133" s="111">
        <f t="shared" si="34"/>
        <v>0.44780257301891147</v>
      </c>
      <c r="O133" s="111">
        <f t="shared" si="34"/>
        <v>0.19276050688918686</v>
      </c>
      <c r="P133" s="111">
        <f t="shared" si="34"/>
        <v>8.4660626570948555E-2</v>
      </c>
      <c r="Q133" s="111">
        <f t="shared" si="34"/>
        <v>0.44780257301891147</v>
      </c>
      <c r="R133" s="111">
        <f t="shared" si="34"/>
        <v>0</v>
      </c>
      <c r="S133" s="111">
        <f t="shared" si="34"/>
        <v>0</v>
      </c>
      <c r="T133" s="111">
        <f t="shared" si="34"/>
        <v>0</v>
      </c>
      <c r="U133" s="111">
        <f t="shared" si="34"/>
        <v>0</v>
      </c>
      <c r="V133" s="111">
        <f t="shared" si="34"/>
        <v>0</v>
      </c>
      <c r="W133" s="111">
        <f t="shared" si="34"/>
        <v>0</v>
      </c>
      <c r="X133" s="111">
        <f t="shared" si="34"/>
        <v>0</v>
      </c>
      <c r="Y133" s="111">
        <f t="shared" si="34"/>
        <v>0</v>
      </c>
      <c r="AQ133" s="3"/>
    </row>
    <row r="134" spans="2:43" x14ac:dyDescent="0.25">
      <c r="F134" s="28" t="s">
        <v>452</v>
      </c>
      <c r="G134" s="28" t="s">
        <v>254</v>
      </c>
      <c r="J134" s="98">
        <f t="shared" ref="J134:Y134" si="35">J130 * (1 - J132)</f>
        <v>0</v>
      </c>
      <c r="K134" s="98">
        <f t="shared" si="35"/>
        <v>0</v>
      </c>
      <c r="L134" s="98">
        <f t="shared" si="35"/>
        <v>0</v>
      </c>
      <c r="M134" s="98">
        <f t="shared" si="35"/>
        <v>0</v>
      </c>
      <c r="N134" s="98">
        <f t="shared" si="35"/>
        <v>745.29773195863402</v>
      </c>
      <c r="O134" s="98">
        <f t="shared" si="35"/>
        <v>0</v>
      </c>
      <c r="P134" s="98">
        <f t="shared" si="35"/>
        <v>0</v>
      </c>
      <c r="Q134" s="98">
        <f t="shared" si="35"/>
        <v>0</v>
      </c>
      <c r="R134" s="98">
        <f t="shared" si="35"/>
        <v>0</v>
      </c>
      <c r="S134" s="98">
        <f t="shared" si="35"/>
        <v>0</v>
      </c>
      <c r="T134" s="98">
        <f t="shared" si="35"/>
        <v>0</v>
      </c>
      <c r="U134" s="98">
        <f t="shared" si="35"/>
        <v>0</v>
      </c>
      <c r="V134" s="98">
        <f t="shared" si="35"/>
        <v>0</v>
      </c>
      <c r="W134" s="98">
        <f t="shared" si="35"/>
        <v>0</v>
      </c>
      <c r="X134" s="98">
        <f t="shared" si="35"/>
        <v>0</v>
      </c>
      <c r="Y134" s="98">
        <f t="shared" si="35"/>
        <v>0</v>
      </c>
      <c r="AQ134" s="3"/>
    </row>
    <row r="135" spans="2:43" x14ac:dyDescent="0.25">
      <c r="F135" s="67" t="s">
        <v>453</v>
      </c>
      <c r="G135" s="67" t="s">
        <v>254</v>
      </c>
      <c r="H135" s="37"/>
      <c r="I135" s="37"/>
      <c r="J135" s="100">
        <f t="shared" ref="J135:Y135" si="36">J131 * (1 - J133)</f>
        <v>0</v>
      </c>
      <c r="K135" s="100">
        <f t="shared" si="36"/>
        <v>0</v>
      </c>
      <c r="L135" s="100">
        <f t="shared" si="36"/>
        <v>0</v>
      </c>
      <c r="M135" s="100">
        <f t="shared" si="36"/>
        <v>0</v>
      </c>
      <c r="N135" s="100">
        <f t="shared" si="36"/>
        <v>5807.9460327388979</v>
      </c>
      <c r="O135" s="100">
        <f t="shared" si="36"/>
        <v>1414.7126544185749</v>
      </c>
      <c r="P135" s="100">
        <f t="shared" si="36"/>
        <v>2595.3109159188966</v>
      </c>
      <c r="Q135" s="100">
        <f t="shared" si="36"/>
        <v>0</v>
      </c>
      <c r="R135" s="100">
        <f t="shared" si="36"/>
        <v>0</v>
      </c>
      <c r="S135" s="100">
        <f t="shared" si="36"/>
        <v>0</v>
      </c>
      <c r="T135" s="100">
        <f t="shared" si="36"/>
        <v>52.882358013030462</v>
      </c>
      <c r="U135" s="100">
        <f t="shared" si="36"/>
        <v>0</v>
      </c>
      <c r="V135" s="100">
        <f t="shared" si="36"/>
        <v>0</v>
      </c>
      <c r="W135" s="100">
        <f t="shared" si="36"/>
        <v>0</v>
      </c>
      <c r="X135" s="100">
        <f t="shared" si="36"/>
        <v>0</v>
      </c>
      <c r="Y135" s="100">
        <f t="shared" si="36"/>
        <v>0</v>
      </c>
      <c r="AQ135" s="3"/>
    </row>
    <row r="136" spans="2:43" x14ac:dyDescent="0.25">
      <c r="F136" s="28" t="s">
        <v>454</v>
      </c>
      <c r="G136" s="28" t="s">
        <v>254</v>
      </c>
      <c r="J136" s="121">
        <f t="shared" ref="J136:Y136" si="37">J129 + J134 + J135</f>
        <v>0</v>
      </c>
      <c r="K136" s="121">
        <f t="shared" si="37"/>
        <v>0</v>
      </c>
      <c r="L136" s="121">
        <f t="shared" si="37"/>
        <v>0</v>
      </c>
      <c r="M136" s="121">
        <f t="shared" si="37"/>
        <v>0</v>
      </c>
      <c r="N136" s="121">
        <f t="shared" si="37"/>
        <v>364722.75916978787</v>
      </c>
      <c r="O136" s="121">
        <f t="shared" si="37"/>
        <v>31818.2883040739</v>
      </c>
      <c r="P136" s="121">
        <f t="shared" si="37"/>
        <v>599366.56176819664</v>
      </c>
      <c r="Q136" s="121">
        <f t="shared" si="37"/>
        <v>0</v>
      </c>
      <c r="R136" s="121">
        <f t="shared" si="37"/>
        <v>0</v>
      </c>
      <c r="S136" s="121">
        <f t="shared" si="37"/>
        <v>0</v>
      </c>
      <c r="T136" s="121">
        <f t="shared" si="37"/>
        <v>3771.5726929923658</v>
      </c>
      <c r="U136" s="121">
        <f t="shared" si="37"/>
        <v>0</v>
      </c>
      <c r="V136" s="121">
        <f t="shared" si="37"/>
        <v>530.87127369074199</v>
      </c>
      <c r="W136" s="121">
        <f t="shared" si="37"/>
        <v>0</v>
      </c>
      <c r="X136" s="121">
        <f t="shared" si="37"/>
        <v>17917.3014398864</v>
      </c>
      <c r="Y136" s="121">
        <f t="shared" si="37"/>
        <v>0</v>
      </c>
      <c r="AQ136" s="3"/>
    </row>
    <row r="137" spans="2:43" x14ac:dyDescent="0.25">
      <c r="D137" s="32"/>
      <c r="AQ137" s="3"/>
    </row>
    <row r="138" spans="2:43" x14ac:dyDescent="0.25">
      <c r="B138" s="30" t="s">
        <v>231</v>
      </c>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c r="AA138" s="30"/>
      <c r="AC138" s="30"/>
      <c r="AD138" s="30"/>
      <c r="AE138" s="30"/>
      <c r="AF138" s="30"/>
      <c r="AG138" s="30"/>
      <c r="AH138" s="30"/>
      <c r="AI138" s="30"/>
      <c r="AJ138" s="30"/>
      <c r="AK138" s="30"/>
      <c r="AL138" s="30"/>
      <c r="AM138" s="30"/>
      <c r="AN138" s="30"/>
      <c r="AO138" s="30"/>
      <c r="AQ138" s="30"/>
    </row>
    <row r="140" spans="2:43" x14ac:dyDescent="0.25">
      <c r="E140" t="s">
        <v>232</v>
      </c>
      <c r="G140" s="6" t="s">
        <v>55</v>
      </c>
      <c r="H140" s="26">
        <f t="array" ref="H140">SUM(IF(ISERROR(H22:Y137), 1))</f>
        <v>0</v>
      </c>
    </row>
    <row r="142" spans="2:43" x14ac:dyDescent="0.25">
      <c r="B142" s="30" t="s">
        <v>106</v>
      </c>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c r="AA142" s="30"/>
      <c r="AC142" s="30"/>
      <c r="AD142" s="30"/>
      <c r="AE142" s="30"/>
      <c r="AF142" s="30"/>
      <c r="AG142" s="30"/>
      <c r="AH142" s="30"/>
      <c r="AI142" s="30"/>
      <c r="AJ142" s="30"/>
      <c r="AK142" s="30"/>
      <c r="AL142" s="30"/>
      <c r="AM142" s="30"/>
      <c r="AN142" s="30"/>
      <c r="AO142" s="30"/>
      <c r="AQ142" s="30"/>
    </row>
  </sheetData>
  <sheetProtection sheet="1" objects="1" formatCells="0" formatColumns="0" formatRows="0" sort="0" autoFilter="0"/>
  <conditionalFormatting sqref="H140">
    <cfRule type="cellIs" dxfId="164" priority="10" operator="greaterThan">
      <formula>0</formula>
    </cfRule>
  </conditionalFormatting>
  <conditionalFormatting sqref="A4:I4 Z4:XFD4">
    <cfRule type="expression" dxfId="163" priority="9">
      <formula>LEFT($A$4,1) &lt;&gt; "0"</formula>
    </cfRule>
  </conditionalFormatting>
  <conditionalFormatting sqref="N4:P4">
    <cfRule type="expression" dxfId="162" priority="8">
      <formula>LEFT($A$4,1) &lt;&gt; "0"</formula>
    </cfRule>
  </conditionalFormatting>
  <conditionalFormatting sqref="L4:M4">
    <cfRule type="expression" dxfId="161" priority="7">
      <formula>LEFT($A$4,1) &lt;&gt; "0"</formula>
    </cfRule>
  </conditionalFormatting>
  <conditionalFormatting sqref="J4:K4">
    <cfRule type="expression" dxfId="160" priority="6">
      <formula>LEFT($A$4,1) &lt;&gt; "0"</formula>
    </cfRule>
  </conditionalFormatting>
  <conditionalFormatting sqref="Q4">
    <cfRule type="expression" dxfId="159" priority="5">
      <formula>LEFT($A$4,1) &lt;&gt; "0"</formula>
    </cfRule>
  </conditionalFormatting>
  <conditionalFormatting sqref="R4:S4">
    <cfRule type="expression" dxfId="158" priority="4">
      <formula>LEFT($A$4,1) &lt;&gt; "0"</formula>
    </cfRule>
  </conditionalFormatting>
  <conditionalFormatting sqref="T4:U4">
    <cfRule type="expression" dxfId="157" priority="3">
      <formula>LEFT($A$4,1) &lt;&gt; "0"</formula>
    </cfRule>
  </conditionalFormatting>
  <conditionalFormatting sqref="V4:W4">
    <cfRule type="expression" dxfId="156" priority="2">
      <formula>LEFT($A$4,1) &lt;&gt; "0"</formula>
    </cfRule>
  </conditionalFormatting>
  <conditionalFormatting sqref="X4:Y4">
    <cfRule type="expression" dxfId="155"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Q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3" width="24.5703125" hidden="1" customWidth="1"/>
    <col min="304" max="16384" width="8.7109375" hidden="1"/>
  </cols>
  <sheetData>
    <row r="1" spans="1:27" s="1" customFormat="1" x14ac:dyDescent="0.25">
      <c r="A1" s="1" t="str">
        <f ca="1">MID(CELL("filename",A1),FIND("]",CELL("filename",A1))+1,255)</f>
        <v>Pseudo-load coefficients</v>
      </c>
    </row>
    <row r="2" spans="1:27" s="1" customFormat="1" x14ac:dyDescent="0.25">
      <c r="A2" s="1" t="str">
        <f>Cover!D21&amp;" - "&amp;Cover!D23</f>
        <v>WPD East Midlands - April 21 Prices</v>
      </c>
    </row>
    <row r="3" spans="1:27" s="5" customFormat="1" x14ac:dyDescent="0.25">
      <c r="A3" s="5" t="str">
        <f>Cover!D2&amp;" - "&amp;Cover!D8&amp;" v"&amp;Cover!D10&amp;" - "&amp;Cover!D19</f>
        <v>CDCM charging model - Release for charge setting v5 - 2021/22</v>
      </c>
    </row>
    <row r="4" spans="1:27" x14ac:dyDescent="0.25">
      <c r="A4" s="12" t="str">
        <f>H306 &amp; IF(H306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0" t="s">
        <v>143</v>
      </c>
      <c r="H5" s="114" t="s">
        <v>144</v>
      </c>
      <c r="I5" s="14"/>
      <c r="J5" s="114" t="s">
        <v>940</v>
      </c>
      <c r="K5" s="114" t="s">
        <v>942</v>
      </c>
      <c r="L5" s="114" t="s">
        <v>941</v>
      </c>
      <c r="M5" s="114" t="s">
        <v>943</v>
      </c>
      <c r="N5" s="114" t="s">
        <v>949</v>
      </c>
      <c r="O5" s="114" t="s">
        <v>950</v>
      </c>
      <c r="P5" s="114" t="s">
        <v>951</v>
      </c>
      <c r="Q5" s="114" t="s">
        <v>952</v>
      </c>
      <c r="R5" s="114" t="s">
        <v>944</v>
      </c>
      <c r="S5" s="114" t="s">
        <v>945</v>
      </c>
      <c r="T5" s="114" t="s">
        <v>946</v>
      </c>
      <c r="U5" s="114" t="s">
        <v>955</v>
      </c>
      <c r="V5" s="114" t="s">
        <v>947</v>
      </c>
      <c r="W5" s="114" t="s">
        <v>954</v>
      </c>
      <c r="X5" s="114" t="s">
        <v>948</v>
      </c>
      <c r="Y5" s="114" t="s">
        <v>953</v>
      </c>
      <c r="AA5" s="60" t="s">
        <v>145</v>
      </c>
    </row>
    <row r="7" spans="1:27" x14ac:dyDescent="0.25">
      <c r="B7" s="30" t="s">
        <v>10</v>
      </c>
      <c r="C7" s="105"/>
      <c r="D7" s="104"/>
      <c r="E7" s="104"/>
      <c r="F7" s="105"/>
      <c r="G7" s="105"/>
      <c r="H7" s="105"/>
      <c r="I7" s="105"/>
      <c r="J7" s="105"/>
      <c r="K7" s="105"/>
      <c r="L7" s="105"/>
      <c r="M7" s="105"/>
      <c r="N7" s="105"/>
      <c r="O7" s="105"/>
      <c r="P7" s="105"/>
      <c r="Q7" s="105"/>
      <c r="R7" s="105"/>
      <c r="S7" s="105"/>
      <c r="T7" s="105"/>
      <c r="U7" s="105"/>
      <c r="V7" s="105"/>
      <c r="W7" s="105"/>
      <c r="X7" s="105"/>
      <c r="Y7" s="105"/>
      <c r="Z7" s="105"/>
      <c r="AA7" s="105"/>
    </row>
    <row r="9" spans="1:27" x14ac:dyDescent="0.25">
      <c r="C9" s="29" t="s">
        <v>1024</v>
      </c>
    </row>
    <row r="10" spans="1:27" x14ac:dyDescent="0.25">
      <c r="C10" s="29" t="s">
        <v>456</v>
      </c>
    </row>
    <row r="11" spans="1:27" x14ac:dyDescent="0.25">
      <c r="C11" s="29" t="s">
        <v>457</v>
      </c>
    </row>
    <row r="13" spans="1:27" x14ac:dyDescent="0.25">
      <c r="B13" s="30" t="s">
        <v>458</v>
      </c>
      <c r="C13" s="105"/>
      <c r="D13" s="104"/>
      <c r="E13" s="104"/>
      <c r="F13" s="105"/>
      <c r="G13" s="105"/>
      <c r="H13" s="105"/>
      <c r="I13" s="105"/>
      <c r="J13" s="105"/>
      <c r="K13" s="105"/>
      <c r="L13" s="105"/>
      <c r="M13" s="105"/>
      <c r="N13" s="105"/>
      <c r="O13" s="105"/>
      <c r="P13" s="105"/>
      <c r="Q13" s="105"/>
      <c r="R13" s="105"/>
      <c r="S13" s="105"/>
      <c r="T13" s="105"/>
      <c r="U13" s="105"/>
      <c r="V13" s="105"/>
      <c r="W13" s="105"/>
      <c r="X13" s="105"/>
      <c r="Y13" s="105"/>
      <c r="Z13" s="105"/>
      <c r="AA13" s="105"/>
    </row>
    <row r="15" spans="1:27" x14ac:dyDescent="0.25">
      <c r="C15" s="29" t="s">
        <v>1021</v>
      </c>
      <c r="I15" t="s">
        <v>154</v>
      </c>
      <c r="AA15" t="s">
        <v>1022</v>
      </c>
    </row>
    <row r="16" spans="1:27" x14ac:dyDescent="0.25">
      <c r="C16" s="29" t="s">
        <v>459</v>
      </c>
    </row>
    <row r="18" spans="3:27" x14ac:dyDescent="0.25">
      <c r="C18" s="31" t="str">
        <f ca="1">INDEX('Version control'!$H$34:$H$57,MATCH($A$1,'Version control'!$F$34:$F$57,0),1)&amp;"-A: Flags and hours in timebands"</f>
        <v>Section 105-A: Flags and hours in timebands</v>
      </c>
      <c r="D18" s="31"/>
      <c r="E18" s="31"/>
      <c r="F18" s="31"/>
      <c r="G18" s="31"/>
      <c r="H18" s="31"/>
      <c r="I18" s="31"/>
      <c r="J18" s="31"/>
      <c r="K18" s="31"/>
      <c r="L18" s="31"/>
      <c r="M18" s="31"/>
      <c r="N18" s="31"/>
      <c r="O18" s="31"/>
      <c r="P18" s="31"/>
      <c r="Q18" s="31"/>
      <c r="R18" s="31"/>
      <c r="S18" s="31"/>
      <c r="T18" s="31"/>
      <c r="U18" s="31"/>
      <c r="V18" s="31"/>
      <c r="W18" s="31"/>
      <c r="X18" s="31"/>
      <c r="Y18" s="31"/>
      <c r="Z18" s="31"/>
      <c r="AA18" s="31"/>
    </row>
    <row r="20" spans="3:27" s="321" customFormat="1" x14ac:dyDescent="0.25">
      <c r="E20" s="322" t="s">
        <v>460</v>
      </c>
      <c r="F20" s="323"/>
      <c r="G20" s="323" t="s">
        <v>461</v>
      </c>
      <c r="J20" s="324" t="b">
        <f>'Fixed inputs'!J127</f>
        <v>0</v>
      </c>
      <c r="K20" s="324" t="b">
        <f>'Fixed inputs'!K127</f>
        <v>0</v>
      </c>
      <c r="L20" s="324" t="b">
        <f>'Fixed inputs'!L127</f>
        <v>0</v>
      </c>
      <c r="M20" s="324" t="b">
        <f>'Fixed inputs'!M127</f>
        <v>0</v>
      </c>
      <c r="N20" s="324" t="b">
        <f>'Fixed inputs'!N127</f>
        <v>0</v>
      </c>
      <c r="O20" s="324" t="b">
        <f>'Fixed inputs'!O127</f>
        <v>0</v>
      </c>
      <c r="P20" s="324" t="b">
        <f>'Fixed inputs'!P127</f>
        <v>0</v>
      </c>
      <c r="Q20" s="324" t="b">
        <f>'Fixed inputs'!Q127</f>
        <v>1</v>
      </c>
      <c r="R20" s="324" t="b">
        <f>'Fixed inputs'!R127</f>
        <v>0</v>
      </c>
      <c r="S20" s="324" t="b">
        <f>'Fixed inputs'!S127</f>
        <v>0</v>
      </c>
      <c r="T20" s="324" t="b">
        <f>'Fixed inputs'!T127</f>
        <v>0</v>
      </c>
      <c r="U20" s="324" t="b">
        <f>'Fixed inputs'!U127</f>
        <v>0</v>
      </c>
      <c r="V20" s="324" t="b">
        <f>'Fixed inputs'!V127</f>
        <v>0</v>
      </c>
      <c r="W20" s="324" t="b">
        <f>'Fixed inputs'!W127</f>
        <v>0</v>
      </c>
      <c r="X20" s="324" t="b">
        <f>'Fixed inputs'!X127</f>
        <v>0</v>
      </c>
      <c r="Y20" s="324" t="b">
        <f>'Fixed inputs'!Y127</f>
        <v>0</v>
      </c>
    </row>
    <row r="22" spans="3:27" x14ac:dyDescent="0.25">
      <c r="E22" s="32" t="s">
        <v>462</v>
      </c>
      <c r="I22" t="s">
        <v>154</v>
      </c>
      <c r="AA22" t="s">
        <v>463</v>
      </c>
    </row>
    <row r="23" spans="3:27" x14ac:dyDescent="0.25">
      <c r="E23" s="29" t="s">
        <v>464</v>
      </c>
      <c r="F23" s="29"/>
    </row>
    <row r="24" spans="3:27" x14ac:dyDescent="0.25">
      <c r="F24" s="64" t="s">
        <v>465</v>
      </c>
      <c r="G24" s="64" t="s">
        <v>147</v>
      </c>
      <c r="H24" s="149"/>
      <c r="I24" s="149"/>
      <c r="J24" s="124">
        <f>IF(J$20, 'General inputs'!$H16, 'General inputs'!$H21)</f>
        <v>783</v>
      </c>
      <c r="K24" s="124">
        <f>IF(K$20, 'General inputs'!$H16, 'General inputs'!$H21)</f>
        <v>783</v>
      </c>
      <c r="L24" s="124">
        <f>IF(L$20, 'General inputs'!$H16, 'General inputs'!$H21)</f>
        <v>783</v>
      </c>
      <c r="M24" s="124">
        <f>IF(M$20, 'General inputs'!$H16, 'General inputs'!$H21)</f>
        <v>783</v>
      </c>
      <c r="N24" s="124">
        <f>IF(N$20, 'General inputs'!$H16, 'General inputs'!$H21)</f>
        <v>783</v>
      </c>
      <c r="O24" s="124">
        <f>IF(O$20, 'General inputs'!$H16, 'General inputs'!$H21)</f>
        <v>783</v>
      </c>
      <c r="P24" s="124">
        <f>IF(P$20, 'General inputs'!$H16, 'General inputs'!$H21)</f>
        <v>783</v>
      </c>
      <c r="Q24" s="124">
        <f>IF(Q$20, 'General inputs'!$H16, 'General inputs'!$H21)</f>
        <v>258</v>
      </c>
      <c r="R24" s="124">
        <f>IF(R$20, 'General inputs'!$H16, 'General inputs'!$H21)</f>
        <v>783</v>
      </c>
      <c r="S24" s="124">
        <f>IF(S$20, 'General inputs'!$H16, 'General inputs'!$H21)</f>
        <v>783</v>
      </c>
      <c r="T24" s="124">
        <f>IF(T$20, 'General inputs'!$H16, 'General inputs'!$H21)</f>
        <v>783</v>
      </c>
      <c r="U24" s="124">
        <f>IF(U$20, 'General inputs'!$H16, 'General inputs'!$H21)</f>
        <v>783</v>
      </c>
      <c r="V24" s="124">
        <f>IF(V$20, 'General inputs'!$H16, 'General inputs'!$H21)</f>
        <v>783</v>
      </c>
      <c r="W24" s="124">
        <f>IF(W$20, 'General inputs'!$H16, 'General inputs'!$H21)</f>
        <v>783</v>
      </c>
      <c r="X24" s="124">
        <f>IF(X$20, 'General inputs'!$H16, 'General inputs'!$H21)</f>
        <v>783</v>
      </c>
      <c r="Y24" s="124">
        <f>IF(Y$20, 'General inputs'!$H16, 'General inputs'!$H21)</f>
        <v>783</v>
      </c>
    </row>
    <row r="25" spans="3:27" x14ac:dyDescent="0.25">
      <c r="F25" s="28" t="s">
        <v>466</v>
      </c>
      <c r="G25" t="s">
        <v>147</v>
      </c>
      <c r="H25" s="150"/>
      <c r="I25" s="150"/>
      <c r="J25" s="120">
        <f>IF(J$20, 'General inputs'!$H17, 'General inputs'!$H22)</f>
        <v>2740.5</v>
      </c>
      <c r="K25" s="120">
        <f>IF(K$20, 'General inputs'!$H17, 'General inputs'!$H22)</f>
        <v>2740.5</v>
      </c>
      <c r="L25" s="120">
        <f>IF(L$20, 'General inputs'!$H17, 'General inputs'!$H22)</f>
        <v>2740.5</v>
      </c>
      <c r="M25" s="120">
        <f>IF(M$20, 'General inputs'!$H17, 'General inputs'!$H22)</f>
        <v>2740.5</v>
      </c>
      <c r="N25" s="120">
        <f>IF(N$20, 'General inputs'!$H17, 'General inputs'!$H22)</f>
        <v>2740.5</v>
      </c>
      <c r="O25" s="120">
        <f>IF(O$20, 'General inputs'!$H17, 'General inputs'!$H22)</f>
        <v>2740.5</v>
      </c>
      <c r="P25" s="120">
        <f>IF(P$20, 'General inputs'!$H17, 'General inputs'!$H22)</f>
        <v>2740.5</v>
      </c>
      <c r="Q25" s="120">
        <f>IF(Q$20, 'General inputs'!$H17, 'General inputs'!$H22)</f>
        <v>3265.5</v>
      </c>
      <c r="R25" s="120">
        <f>IF(R$20, 'General inputs'!$H17, 'General inputs'!$H22)</f>
        <v>2740.5</v>
      </c>
      <c r="S25" s="120">
        <f>IF(S$20, 'General inputs'!$H17, 'General inputs'!$H22)</f>
        <v>2740.5</v>
      </c>
      <c r="T25" s="120">
        <f>IF(T$20, 'General inputs'!$H17, 'General inputs'!$H22)</f>
        <v>2740.5</v>
      </c>
      <c r="U25" s="120">
        <f>IF(U$20, 'General inputs'!$H17, 'General inputs'!$H22)</f>
        <v>2740.5</v>
      </c>
      <c r="V25" s="120">
        <f>IF(V$20, 'General inputs'!$H17, 'General inputs'!$H22)</f>
        <v>2740.5</v>
      </c>
      <c r="W25" s="120">
        <f>IF(W$20, 'General inputs'!$H17, 'General inputs'!$H22)</f>
        <v>2740.5</v>
      </c>
      <c r="X25" s="120">
        <f>IF(X$20, 'General inputs'!$H17, 'General inputs'!$H22)</f>
        <v>2740.5</v>
      </c>
      <c r="Y25" s="120">
        <f>IF(Y$20, 'General inputs'!$H17, 'General inputs'!$H22)</f>
        <v>2740.5</v>
      </c>
    </row>
    <row r="26" spans="3:27" x14ac:dyDescent="0.25">
      <c r="F26" s="67" t="s">
        <v>257</v>
      </c>
      <c r="G26" s="37" t="s">
        <v>147</v>
      </c>
      <c r="H26" s="151"/>
      <c r="I26" s="151"/>
      <c r="J26" s="125">
        <f>IF(J$20, 'General inputs'!$H18, 'General inputs'!$H23)</f>
        <v>5236.5</v>
      </c>
      <c r="K26" s="125">
        <f>IF(K$20, 'General inputs'!$H18, 'General inputs'!$H23)</f>
        <v>5236.5</v>
      </c>
      <c r="L26" s="125">
        <f>IF(L$20, 'General inputs'!$H18, 'General inputs'!$H23)</f>
        <v>5236.5</v>
      </c>
      <c r="M26" s="125">
        <f>IF(M$20, 'General inputs'!$H18, 'General inputs'!$H23)</f>
        <v>5236.5</v>
      </c>
      <c r="N26" s="125">
        <f>IF(N$20, 'General inputs'!$H18, 'General inputs'!$H23)</f>
        <v>5236.5</v>
      </c>
      <c r="O26" s="125">
        <f>IF(O$20, 'General inputs'!$H18, 'General inputs'!$H23)</f>
        <v>5236.5</v>
      </c>
      <c r="P26" s="125">
        <f>IF(P$20, 'General inputs'!$H18, 'General inputs'!$H23)</f>
        <v>5236.5</v>
      </c>
      <c r="Q26" s="125">
        <f>IF(Q$20, 'General inputs'!$H18, 'General inputs'!$H23)</f>
        <v>5236.5</v>
      </c>
      <c r="R26" s="125">
        <f>IF(R$20, 'General inputs'!$H18, 'General inputs'!$H23)</f>
        <v>5236.5</v>
      </c>
      <c r="S26" s="125">
        <f>IF(S$20, 'General inputs'!$H18, 'General inputs'!$H23)</f>
        <v>5236.5</v>
      </c>
      <c r="T26" s="125">
        <f>IF(T$20, 'General inputs'!$H18, 'General inputs'!$H23)</f>
        <v>5236.5</v>
      </c>
      <c r="U26" s="125">
        <f>IF(U$20, 'General inputs'!$H18, 'General inputs'!$H23)</f>
        <v>5236.5</v>
      </c>
      <c r="V26" s="125">
        <f>IF(V$20, 'General inputs'!$H18, 'General inputs'!$H23)</f>
        <v>5236.5</v>
      </c>
      <c r="W26" s="125">
        <f>IF(W$20, 'General inputs'!$H18, 'General inputs'!$H23)</f>
        <v>5236.5</v>
      </c>
      <c r="X26" s="125">
        <f>IF(X$20, 'General inputs'!$H18, 'General inputs'!$H23)</f>
        <v>5236.5</v>
      </c>
      <c r="Y26" s="125">
        <f>IF(Y$20, 'General inputs'!$H18, 'General inputs'!$H23)</f>
        <v>5236.5</v>
      </c>
    </row>
    <row r="27" spans="3:27" x14ac:dyDescent="0.25">
      <c r="J27" s="89"/>
      <c r="K27" s="89"/>
      <c r="L27" s="89"/>
      <c r="M27" s="89"/>
      <c r="N27" s="89"/>
      <c r="O27" s="89"/>
      <c r="P27" s="89"/>
      <c r="Q27" s="89"/>
      <c r="R27" s="89"/>
      <c r="S27" s="89"/>
      <c r="T27" s="89"/>
      <c r="U27" s="89"/>
      <c r="V27" s="89"/>
      <c r="W27" s="89"/>
      <c r="X27" s="89"/>
      <c r="Y27" s="89"/>
    </row>
    <row r="28" spans="3:27" x14ac:dyDescent="0.25">
      <c r="C28" s="31" t="str">
        <f ca="1">INDEX('Version control'!$H$34:$H$57,MATCH($A$1,'Version control'!$F$34:$F$57,0),1)&amp;"-B: Average load by timeband"</f>
        <v>Section 105-B: Average load by timeband</v>
      </c>
      <c r="D28" s="31"/>
      <c r="E28" s="31"/>
      <c r="F28" s="31"/>
      <c r="G28" s="31"/>
      <c r="H28" s="31"/>
      <c r="I28" s="31"/>
      <c r="J28" s="90"/>
      <c r="K28" s="90"/>
      <c r="L28" s="90"/>
      <c r="M28" s="90"/>
      <c r="N28" s="90"/>
      <c r="O28" s="90"/>
      <c r="P28" s="90"/>
      <c r="Q28" s="90"/>
      <c r="R28" s="90"/>
      <c r="S28" s="90"/>
      <c r="T28" s="90"/>
      <c r="U28" s="90"/>
      <c r="V28" s="90"/>
      <c r="W28" s="90"/>
      <c r="X28" s="90"/>
      <c r="Y28" s="90"/>
      <c r="Z28" s="31"/>
      <c r="AA28" s="31"/>
    </row>
    <row r="29" spans="3:27" x14ac:dyDescent="0.25">
      <c r="J29" s="89"/>
      <c r="K29" s="89"/>
      <c r="L29" s="89"/>
      <c r="M29" s="89"/>
      <c r="N29" s="89"/>
      <c r="O29" s="89"/>
      <c r="P29" s="89"/>
      <c r="Q29" s="89"/>
      <c r="R29" s="89"/>
      <c r="S29" s="89"/>
      <c r="T29" s="89"/>
      <c r="U29" s="89"/>
      <c r="V29" s="89"/>
      <c r="W29" s="89"/>
      <c r="X29" s="89"/>
      <c r="Y29" s="89"/>
    </row>
    <row r="30" spans="3:27" x14ac:dyDescent="0.25">
      <c r="E30" s="32" t="s">
        <v>467</v>
      </c>
      <c r="J30" s="89"/>
      <c r="K30" s="89"/>
      <c r="L30" s="89"/>
      <c r="M30" s="89"/>
      <c r="N30" s="89"/>
      <c r="O30" s="89"/>
      <c r="P30" s="89"/>
      <c r="Q30" s="89"/>
      <c r="R30" s="89"/>
      <c r="S30" s="89"/>
      <c r="T30" s="89"/>
      <c r="U30" s="89"/>
      <c r="V30" s="89"/>
      <c r="W30" s="89"/>
      <c r="X30" s="89"/>
      <c r="Y30" s="89"/>
    </row>
    <row r="31" spans="3:27" x14ac:dyDescent="0.25">
      <c r="F31" s="64" t="s">
        <v>156</v>
      </c>
      <c r="G31" s="64" t="s">
        <v>207</v>
      </c>
      <c r="H31" s="23"/>
      <c r="I31" s="23"/>
      <c r="J31" s="124">
        <f>'Volume adjustments'!J66</f>
        <v>995604.37579133769</v>
      </c>
      <c r="K31" s="124">
        <f>'Volume adjustments'!K66</f>
        <v>844.76303646099564</v>
      </c>
      <c r="L31" s="124">
        <f>'Volume adjustments'!L66</f>
        <v>328562.10394094384</v>
      </c>
      <c r="M31" s="124">
        <f>'Volume adjustments'!M66</f>
        <v>29.861394683968697</v>
      </c>
      <c r="N31" s="124">
        <f>'Volume adjustments'!N66</f>
        <v>347180.92198321945</v>
      </c>
      <c r="O31" s="124">
        <f>'Volume adjustments'!O66</f>
        <v>28854.519217997538</v>
      </c>
      <c r="P31" s="124">
        <f>'Volume adjustments'!P66</f>
        <v>692748.3888782725</v>
      </c>
      <c r="Q31" s="124">
        <f>'Volume adjustments'!Q66</f>
        <v>9808.580008541272</v>
      </c>
      <c r="R31" s="124">
        <f>'Volume adjustments'!R66</f>
        <v>113.28039016895981</v>
      </c>
      <c r="S31" s="124">
        <f>'Volume adjustments'!S66</f>
        <v>0</v>
      </c>
      <c r="T31" s="124">
        <f>'Volume adjustments'!T66</f>
        <v>4553.188877237757</v>
      </c>
      <c r="U31" s="124">
        <f>'Volume adjustments'!U66</f>
        <v>0</v>
      </c>
      <c r="V31" s="124">
        <f>'Volume adjustments'!V66</f>
        <v>615.06552578097023</v>
      </c>
      <c r="W31" s="124">
        <f>'Volume adjustments'!W66</f>
        <v>0</v>
      </c>
      <c r="X31" s="124">
        <f>'Volume adjustments'!X66</f>
        <v>229961.87994000159</v>
      </c>
      <c r="Y31" s="124">
        <f>'Volume adjustments'!Y66</f>
        <v>0</v>
      </c>
    </row>
    <row r="32" spans="3:27" x14ac:dyDescent="0.25">
      <c r="F32" s="28" t="s">
        <v>157</v>
      </c>
      <c r="G32" s="28" t="s">
        <v>207</v>
      </c>
      <c r="J32" s="120">
        <f>'Volume adjustments'!J77</f>
        <v>2948496.3431510031</v>
      </c>
      <c r="K32" s="120">
        <f>'Volume adjustments'!K77</f>
        <v>5440.3358304795011</v>
      </c>
      <c r="L32" s="120">
        <f>'Volume adjustments'!L77</f>
        <v>1353711.1758886508</v>
      </c>
      <c r="M32" s="120">
        <f>'Volume adjustments'!M77</f>
        <v>464.08328869228717</v>
      </c>
      <c r="N32" s="120">
        <f>'Volume adjustments'!N77</f>
        <v>1461933.0859632664</v>
      </c>
      <c r="O32" s="120">
        <f>'Volume adjustments'!O77</f>
        <v>107141.34606800493</v>
      </c>
      <c r="P32" s="120">
        <f>'Volume adjustments'!P77</f>
        <v>2644422.1226810566</v>
      </c>
      <c r="Q32" s="120">
        <f>'Volume adjustments'!Q77</f>
        <v>49098.696890577165</v>
      </c>
      <c r="R32" s="120">
        <f>'Volume adjustments'!R77</f>
        <v>621.73009887917874</v>
      </c>
      <c r="S32" s="120">
        <f>'Volume adjustments'!S77</f>
        <v>0</v>
      </c>
      <c r="T32" s="120">
        <f>'Volume adjustments'!T77</f>
        <v>22548.676037633701</v>
      </c>
      <c r="U32" s="120">
        <f>'Volume adjustments'!U77</f>
        <v>0</v>
      </c>
      <c r="V32" s="120">
        <f>'Volume adjustments'!V77</f>
        <v>2420.0756967191228</v>
      </c>
      <c r="W32" s="120">
        <f>'Volume adjustments'!W77</f>
        <v>0</v>
      </c>
      <c r="X32" s="120">
        <f>'Volume adjustments'!X77</f>
        <v>553493.31010462705</v>
      </c>
      <c r="Y32" s="120">
        <f>'Volume adjustments'!Y77</f>
        <v>0</v>
      </c>
    </row>
    <row r="33" spans="3:27" x14ac:dyDescent="0.25">
      <c r="F33" s="28" t="s">
        <v>158</v>
      </c>
      <c r="G33" s="28" t="s">
        <v>207</v>
      </c>
      <c r="J33" s="120">
        <f>'Volume adjustments'!J88</f>
        <v>4874128.0393072097</v>
      </c>
      <c r="K33" s="120">
        <f>'Volume adjustments'!K88</f>
        <v>9899.7165488828668</v>
      </c>
      <c r="L33" s="120">
        <f>'Volume adjustments'!L88</f>
        <v>1485109.921576333</v>
      </c>
      <c r="M33" s="120">
        <f>'Volume adjustments'!M88</f>
        <v>1793.2522001264201</v>
      </c>
      <c r="N33" s="120">
        <f>'Volume adjustments'!N88</f>
        <v>1600581.2557186417</v>
      </c>
      <c r="O33" s="120">
        <f>'Volume adjustments'!O88</f>
        <v>124458.65238182069</v>
      </c>
      <c r="P33" s="120">
        <f>'Volume adjustments'!P88</f>
        <v>3773369.7704526572</v>
      </c>
      <c r="Q33" s="120">
        <f>'Volume adjustments'!Q88</f>
        <v>162629.81891852972</v>
      </c>
      <c r="R33" s="120">
        <f>'Volume adjustments'!R88</f>
        <v>365.44118174945635</v>
      </c>
      <c r="S33" s="120">
        <f>'Volume adjustments'!S88</f>
        <v>0</v>
      </c>
      <c r="T33" s="120">
        <f>'Volume adjustments'!T88</f>
        <v>23816.087660749628</v>
      </c>
      <c r="U33" s="120">
        <f>'Volume adjustments'!U88</f>
        <v>0</v>
      </c>
      <c r="V33" s="120">
        <f>'Volume adjustments'!V88</f>
        <v>4177.5270200851664</v>
      </c>
      <c r="W33" s="120">
        <f>'Volume adjustments'!W88</f>
        <v>0</v>
      </c>
      <c r="X33" s="120">
        <f>'Volume adjustments'!X88</f>
        <v>650372.22755506483</v>
      </c>
      <c r="Y33" s="120">
        <f>'Volume adjustments'!Y88</f>
        <v>0</v>
      </c>
    </row>
    <row r="34" spans="3:27" x14ac:dyDescent="0.25">
      <c r="F34" s="152" t="s">
        <v>455</v>
      </c>
      <c r="G34" s="152" t="s">
        <v>207</v>
      </c>
      <c r="H34" s="108"/>
      <c r="I34" s="108"/>
      <c r="J34" s="153">
        <f t="shared" ref="J34:Y34" si="0">SUM(J31:J33)</f>
        <v>8818228.7582495511</v>
      </c>
      <c r="K34" s="153">
        <f t="shared" si="0"/>
        <v>16184.815415823363</v>
      </c>
      <c r="L34" s="153">
        <f t="shared" si="0"/>
        <v>3167383.2014059275</v>
      </c>
      <c r="M34" s="153">
        <f t="shared" si="0"/>
        <v>2287.196883502676</v>
      </c>
      <c r="N34" s="153">
        <f t="shared" si="0"/>
        <v>3409695.2636651276</v>
      </c>
      <c r="O34" s="153">
        <f t="shared" si="0"/>
        <v>260454.51766782315</v>
      </c>
      <c r="P34" s="153">
        <f t="shared" si="0"/>
        <v>7110540.2820119858</v>
      </c>
      <c r="Q34" s="153">
        <f t="shared" si="0"/>
        <v>221537.09581764817</v>
      </c>
      <c r="R34" s="153">
        <f t="shared" si="0"/>
        <v>1100.4516707975949</v>
      </c>
      <c r="S34" s="153">
        <f t="shared" si="0"/>
        <v>0</v>
      </c>
      <c r="T34" s="153">
        <f t="shared" si="0"/>
        <v>50917.952575621086</v>
      </c>
      <c r="U34" s="153">
        <f t="shared" si="0"/>
        <v>0</v>
      </c>
      <c r="V34" s="153">
        <f t="shared" si="0"/>
        <v>7212.6682425852596</v>
      </c>
      <c r="W34" s="153">
        <f t="shared" si="0"/>
        <v>0</v>
      </c>
      <c r="X34" s="153">
        <f t="shared" si="0"/>
        <v>1433827.4175996934</v>
      </c>
      <c r="Y34" s="153">
        <f t="shared" si="0"/>
        <v>0</v>
      </c>
    </row>
    <row r="35" spans="3:27" x14ac:dyDescent="0.25">
      <c r="F35" s="28"/>
      <c r="G35" s="28"/>
      <c r="J35" s="25"/>
      <c r="K35" s="25"/>
      <c r="L35" s="25"/>
      <c r="M35" s="25"/>
      <c r="N35" s="25"/>
      <c r="O35" s="25"/>
      <c r="P35" s="25"/>
      <c r="Q35" s="25"/>
      <c r="R35" s="25"/>
      <c r="S35" s="25"/>
      <c r="T35" s="25"/>
      <c r="U35" s="25"/>
      <c r="V35" s="25"/>
      <c r="W35" s="25"/>
      <c r="X35" s="25"/>
      <c r="Y35" s="25"/>
      <c r="Z35" s="25"/>
    </row>
    <row r="36" spans="3:27" x14ac:dyDescent="0.25">
      <c r="C36" s="31" t="str">
        <f ca="1">INDEX('Version control'!$H$34:$H$57,MATCH($A$1,'Version control'!$F$34:$F$57,0),1)&amp;"-C: Aggregated groups for pseudo-load coefficients"</f>
        <v>Section 105-C: Aggregated groups for pseudo-load coefficients</v>
      </c>
      <c r="D36" s="31"/>
      <c r="E36" s="31"/>
      <c r="F36" s="31"/>
      <c r="G36" s="31"/>
      <c r="H36" s="31"/>
      <c r="I36" s="31"/>
      <c r="J36" s="90"/>
      <c r="K36" s="90"/>
      <c r="L36" s="90"/>
      <c r="M36" s="90"/>
      <c r="N36" s="90"/>
      <c r="O36" s="90"/>
      <c r="P36" s="90"/>
      <c r="Q36" s="90"/>
      <c r="R36" s="90"/>
      <c r="S36" s="90"/>
      <c r="T36" s="90"/>
      <c r="U36" s="90"/>
      <c r="V36" s="90"/>
      <c r="W36" s="90"/>
      <c r="X36" s="90"/>
      <c r="Y36" s="90"/>
      <c r="Z36" s="31"/>
      <c r="AA36" s="31"/>
    </row>
    <row r="37" spans="3:27" x14ac:dyDescent="0.25">
      <c r="J37" s="89"/>
      <c r="K37" s="89"/>
      <c r="L37" s="89"/>
      <c r="M37" s="89"/>
      <c r="N37" s="89"/>
      <c r="O37" s="89"/>
      <c r="P37" s="89"/>
      <c r="Q37" s="89"/>
      <c r="R37" s="89"/>
      <c r="S37" s="89"/>
      <c r="T37" s="89"/>
      <c r="U37" s="89"/>
      <c r="V37" s="89"/>
      <c r="W37" s="89"/>
      <c r="X37" s="89"/>
      <c r="Y37" s="89"/>
    </row>
    <row r="38" spans="3:27" x14ac:dyDescent="0.25">
      <c r="E38" s="28" t="s">
        <v>1007</v>
      </c>
      <c r="F38" s="28"/>
      <c r="G38" s="28" t="s">
        <v>149</v>
      </c>
      <c r="I38" s="330" t="s">
        <v>154</v>
      </c>
      <c r="J38" s="325">
        <f>'Fixed inputs'!J149</f>
        <v>1</v>
      </c>
      <c r="K38" s="325">
        <f>'Fixed inputs'!K149</f>
        <v>1</v>
      </c>
      <c r="L38" s="325">
        <f>'Fixed inputs'!L149</f>
        <v>2</v>
      </c>
      <c r="M38" s="325">
        <f>'Fixed inputs'!M149</f>
        <v>2</v>
      </c>
      <c r="N38" s="326"/>
      <c r="O38" s="326"/>
      <c r="P38" s="326"/>
      <c r="Q38" s="326"/>
      <c r="R38" s="326"/>
      <c r="S38" s="326"/>
      <c r="T38" s="326"/>
      <c r="U38" s="326"/>
      <c r="V38" s="326"/>
      <c r="W38" s="326"/>
      <c r="X38" s="326"/>
      <c r="Y38" s="326"/>
      <c r="AA38" s="330" t="s">
        <v>1020</v>
      </c>
    </row>
    <row r="39" spans="3:27" x14ac:dyDescent="0.25">
      <c r="J39" s="89"/>
      <c r="K39" s="89"/>
      <c r="L39" s="89"/>
      <c r="M39" s="89"/>
      <c r="N39" s="89"/>
      <c r="O39" s="89"/>
      <c r="P39" s="89"/>
      <c r="Q39" s="89"/>
      <c r="R39" s="89"/>
      <c r="S39" s="89"/>
      <c r="T39" s="89"/>
      <c r="U39" s="89"/>
      <c r="V39" s="89"/>
      <c r="W39" s="89"/>
      <c r="X39" s="89"/>
      <c r="Y39" s="89"/>
    </row>
    <row r="40" spans="3:27" x14ac:dyDescent="0.25">
      <c r="E40" s="32" t="s">
        <v>1008</v>
      </c>
      <c r="J40" s="89"/>
      <c r="K40" s="89"/>
      <c r="L40" s="89"/>
      <c r="M40" s="89"/>
      <c r="N40" s="89"/>
      <c r="O40" s="89"/>
      <c r="P40" s="89"/>
      <c r="Q40" s="89"/>
      <c r="R40" s="89"/>
      <c r="S40" s="89"/>
      <c r="T40" s="89"/>
      <c r="U40" s="89"/>
      <c r="V40" s="89"/>
      <c r="W40" s="89"/>
      <c r="X40" s="89"/>
      <c r="Y40" s="89"/>
    </row>
    <row r="41" spans="3:27" x14ac:dyDescent="0.25">
      <c r="E41" s="29" t="s">
        <v>464</v>
      </c>
    </row>
    <row r="42" spans="3:27" x14ac:dyDescent="0.25">
      <c r="F42" s="64" t="s">
        <v>465</v>
      </c>
      <c r="G42" s="64" t="s">
        <v>167</v>
      </c>
      <c r="H42" s="23"/>
      <c r="I42" s="23"/>
      <c r="J42" s="154">
        <f t="shared" ref="J42:M44" si="1">SUMIF($J$38:$Y$38, J$38, $J31:$Y31) / SUMIF($J$38:$Y$38, J$38, $J$34:$Y$34)</f>
        <v>0.11279176942747254</v>
      </c>
      <c r="K42" s="154">
        <f t="shared" si="1"/>
        <v>0.11279176942747254</v>
      </c>
      <c r="L42" s="154">
        <f t="shared" si="1"/>
        <v>0.1036675502642036</v>
      </c>
      <c r="M42" s="154">
        <f t="shared" si="1"/>
        <v>0.1036675502642036</v>
      </c>
      <c r="N42" s="327"/>
      <c r="O42" s="327"/>
      <c r="P42" s="327"/>
      <c r="Q42" s="327"/>
      <c r="R42" s="327"/>
      <c r="S42" s="327"/>
      <c r="T42" s="327"/>
      <c r="U42" s="327"/>
      <c r="V42" s="327"/>
      <c r="W42" s="327"/>
      <c r="X42" s="327"/>
      <c r="Y42" s="327"/>
    </row>
    <row r="43" spans="3:27" x14ac:dyDescent="0.25">
      <c r="F43" s="28" t="s">
        <v>466</v>
      </c>
      <c r="G43" s="28" t="s">
        <v>167</v>
      </c>
      <c r="J43" s="145">
        <f t="shared" si="1"/>
        <v>0.33436703572344778</v>
      </c>
      <c r="K43" s="145">
        <f t="shared" si="1"/>
        <v>0.33436703572344778</v>
      </c>
      <c r="L43" s="145">
        <f t="shared" si="1"/>
        <v>0.42722904561564129</v>
      </c>
      <c r="M43" s="145">
        <f t="shared" si="1"/>
        <v>0.42722904561564129</v>
      </c>
      <c r="N43" s="70"/>
      <c r="O43" s="70"/>
      <c r="P43" s="70"/>
      <c r="Q43" s="70"/>
      <c r="R43" s="70"/>
      <c r="S43" s="70"/>
      <c r="T43" s="70"/>
      <c r="U43" s="70"/>
      <c r="V43" s="70"/>
      <c r="W43" s="70"/>
      <c r="X43" s="70"/>
      <c r="Y43" s="70"/>
    </row>
    <row r="44" spans="3:27" x14ac:dyDescent="0.25">
      <c r="F44" s="67" t="s">
        <v>257</v>
      </c>
      <c r="G44" s="67" t="s">
        <v>167</v>
      </c>
      <c r="H44" s="37"/>
      <c r="I44" s="37"/>
      <c r="J44" s="155">
        <f t="shared" si="1"/>
        <v>0.55284119484907945</v>
      </c>
      <c r="K44" s="155">
        <f t="shared" si="1"/>
        <v>0.55284119484907945</v>
      </c>
      <c r="L44" s="155">
        <f t="shared" si="1"/>
        <v>0.469103404120155</v>
      </c>
      <c r="M44" s="155">
        <f t="shared" si="1"/>
        <v>0.469103404120155</v>
      </c>
      <c r="N44" s="71"/>
      <c r="O44" s="71"/>
      <c r="P44" s="71"/>
      <c r="Q44" s="71"/>
      <c r="R44" s="71"/>
      <c r="S44" s="71"/>
      <c r="T44" s="71"/>
      <c r="U44" s="71"/>
      <c r="V44" s="71"/>
      <c r="W44" s="71"/>
      <c r="X44" s="71"/>
      <c r="Y44" s="71"/>
    </row>
    <row r="45" spans="3:27" x14ac:dyDescent="0.25">
      <c r="J45" s="89"/>
      <c r="K45" s="89"/>
      <c r="L45" s="89"/>
      <c r="M45" s="89"/>
      <c r="N45" s="89"/>
      <c r="O45" s="89"/>
      <c r="P45" s="89"/>
      <c r="Q45" s="89"/>
      <c r="R45" s="89"/>
      <c r="S45" s="89"/>
      <c r="T45" s="89"/>
      <c r="U45" s="89"/>
      <c r="V45" s="89"/>
      <c r="W45" s="89"/>
      <c r="X45" s="89"/>
      <c r="Y45" s="89"/>
    </row>
    <row r="46" spans="3:27" x14ac:dyDescent="0.25">
      <c r="E46" s="32" t="s">
        <v>1009</v>
      </c>
      <c r="F46" s="28"/>
      <c r="G46" s="28"/>
    </row>
    <row r="47" spans="3:27" x14ac:dyDescent="0.25">
      <c r="E47" s="29" t="s">
        <v>464</v>
      </c>
    </row>
    <row r="48" spans="3:27" x14ac:dyDescent="0.25">
      <c r="F48" s="64" t="s">
        <v>465</v>
      </c>
      <c r="G48" s="64" t="s">
        <v>167</v>
      </c>
      <c r="H48" s="23"/>
      <c r="I48" s="23"/>
      <c r="J48" s="154">
        <f>IF(ISNUMBER(J$38), J42, IF(J$34 = 0, 0, J31 / J$34))</f>
        <v>0.11279176942747254</v>
      </c>
      <c r="K48" s="154">
        <f t="shared" ref="K48:Y48" si="2">IF(ISNUMBER(K$38), K42, IF(K$34 = 0, 0, K31 / K$34))</f>
        <v>0.11279176942747254</v>
      </c>
      <c r="L48" s="154">
        <f t="shared" si="2"/>
        <v>0.1036675502642036</v>
      </c>
      <c r="M48" s="154">
        <f t="shared" si="2"/>
        <v>0.1036675502642036</v>
      </c>
      <c r="N48" s="154">
        <f t="shared" si="2"/>
        <v>0.1018216864371715</v>
      </c>
      <c r="O48" s="154">
        <f t="shared" si="2"/>
        <v>0.11078525139962377</v>
      </c>
      <c r="P48" s="154">
        <f t="shared" si="2"/>
        <v>9.7425562812823788E-2</v>
      </c>
      <c r="Q48" s="154">
        <f t="shared" si="2"/>
        <v>4.4275113259654358E-2</v>
      </c>
      <c r="R48" s="154">
        <f t="shared" si="2"/>
        <v>0.10293990474552642</v>
      </c>
      <c r="S48" s="154">
        <f t="shared" si="2"/>
        <v>0</v>
      </c>
      <c r="T48" s="154">
        <f t="shared" si="2"/>
        <v>8.9422073098394186E-2</v>
      </c>
      <c r="U48" s="154">
        <f t="shared" si="2"/>
        <v>0</v>
      </c>
      <c r="V48" s="154">
        <f t="shared" si="2"/>
        <v>8.5275726692859835E-2</v>
      </c>
      <c r="W48" s="154">
        <f t="shared" si="2"/>
        <v>0</v>
      </c>
      <c r="X48" s="154">
        <f t="shared" si="2"/>
        <v>0.16038323519086456</v>
      </c>
      <c r="Y48" s="154">
        <f t="shared" si="2"/>
        <v>0</v>
      </c>
    </row>
    <row r="49" spans="2:27" x14ac:dyDescent="0.25">
      <c r="F49" s="28" t="s">
        <v>466</v>
      </c>
      <c r="G49" s="28" t="s">
        <v>167</v>
      </c>
      <c r="J49" s="145">
        <f t="shared" ref="J49:Y49" si="3">IF(ISNUMBER(J$38), J43, IF(J$34 = 0, 0, J32 / J$34))</f>
        <v>0.33436703572344778</v>
      </c>
      <c r="K49" s="145">
        <f t="shared" si="3"/>
        <v>0.33436703572344778</v>
      </c>
      <c r="L49" s="145">
        <f t="shared" si="3"/>
        <v>0.42722904561564129</v>
      </c>
      <c r="M49" s="145">
        <f t="shared" si="3"/>
        <v>0.42722904561564129</v>
      </c>
      <c r="N49" s="145">
        <f t="shared" si="3"/>
        <v>0.42875769619124693</v>
      </c>
      <c r="O49" s="145">
        <f t="shared" si="3"/>
        <v>0.41136297817897782</v>
      </c>
      <c r="P49" s="145">
        <f t="shared" si="3"/>
        <v>0.37190171460962396</v>
      </c>
      <c r="Q49" s="145">
        <f t="shared" si="3"/>
        <v>0.22162742862256954</v>
      </c>
      <c r="R49" s="145">
        <f t="shared" si="3"/>
        <v>0.5649771956169195</v>
      </c>
      <c r="S49" s="145">
        <f t="shared" si="3"/>
        <v>0</v>
      </c>
      <c r="T49" s="145">
        <f t="shared" si="3"/>
        <v>0.44284333711465335</v>
      </c>
      <c r="U49" s="145">
        <f t="shared" si="3"/>
        <v>0</v>
      </c>
      <c r="V49" s="145">
        <f t="shared" si="3"/>
        <v>0.33553126461999688</v>
      </c>
      <c r="W49" s="145">
        <f t="shared" si="3"/>
        <v>0</v>
      </c>
      <c r="X49" s="145">
        <f t="shared" si="3"/>
        <v>0.3860250566495691</v>
      </c>
      <c r="Y49" s="145">
        <f t="shared" si="3"/>
        <v>0</v>
      </c>
    </row>
    <row r="50" spans="2:27" x14ac:dyDescent="0.25">
      <c r="F50" s="67" t="s">
        <v>257</v>
      </c>
      <c r="G50" s="67" t="s">
        <v>167</v>
      </c>
      <c r="H50" s="37"/>
      <c r="I50" s="37"/>
      <c r="J50" s="155">
        <f t="shared" ref="J50:Y50" si="4">IF(ISNUMBER(J$38), J44, IF(J$34 = 0, 0, J33 / J$34))</f>
        <v>0.55284119484907945</v>
      </c>
      <c r="K50" s="155">
        <f t="shared" si="4"/>
        <v>0.55284119484907945</v>
      </c>
      <c r="L50" s="155">
        <f t="shared" si="4"/>
        <v>0.469103404120155</v>
      </c>
      <c r="M50" s="155">
        <f t="shared" si="4"/>
        <v>0.469103404120155</v>
      </c>
      <c r="N50" s="155">
        <f t="shared" si="4"/>
        <v>0.46942061737158153</v>
      </c>
      <c r="O50" s="155">
        <f t="shared" si="4"/>
        <v>0.47785177042139843</v>
      </c>
      <c r="P50" s="155">
        <f t="shared" si="4"/>
        <v>0.53067272257755238</v>
      </c>
      <c r="Q50" s="155">
        <f t="shared" si="4"/>
        <v>0.73409745811777605</v>
      </c>
      <c r="R50" s="155">
        <f t="shared" si="4"/>
        <v>0.332082899637554</v>
      </c>
      <c r="S50" s="155">
        <f t="shared" si="4"/>
        <v>0</v>
      </c>
      <c r="T50" s="155">
        <f t="shared" si="4"/>
        <v>0.46773458978695248</v>
      </c>
      <c r="U50" s="155">
        <f t="shared" si="4"/>
        <v>0</v>
      </c>
      <c r="V50" s="155">
        <f t="shared" si="4"/>
        <v>0.5791930086871433</v>
      </c>
      <c r="W50" s="155">
        <f t="shared" si="4"/>
        <v>0</v>
      </c>
      <c r="X50" s="155">
        <f t="shared" si="4"/>
        <v>0.4535917081595664</v>
      </c>
      <c r="Y50" s="155">
        <f t="shared" si="4"/>
        <v>0</v>
      </c>
    </row>
    <row r="52" spans="2:27" x14ac:dyDescent="0.25">
      <c r="C52" s="31" t="str">
        <f ca="1">INDEX('Version control'!$H$34:$H$57,MATCH($A$1,'Version control'!$F$34:$F$57,0),1)&amp;"-D: Ratio of coincidence to load factor assuming units evenly spread within time bands, and peak falls in Red period"</f>
        <v>Section 105-D: Ratio of coincidence to load factor assuming units evenly spread within time bands, and peak falls in Red period</v>
      </c>
      <c r="D52" s="31"/>
      <c r="E52" s="31"/>
      <c r="F52" s="31"/>
      <c r="G52" s="31"/>
      <c r="H52" s="31"/>
      <c r="I52" s="31"/>
      <c r="J52" s="31"/>
      <c r="K52" s="31"/>
      <c r="L52" s="31"/>
      <c r="M52" s="31"/>
      <c r="N52" s="31"/>
      <c r="O52" s="31"/>
      <c r="P52" s="31"/>
      <c r="Q52" s="31"/>
      <c r="R52" s="31"/>
      <c r="S52" s="31"/>
      <c r="T52" s="31"/>
      <c r="U52" s="31"/>
      <c r="V52" s="31"/>
      <c r="W52" s="31"/>
      <c r="X52" s="31"/>
      <c r="Y52" s="31"/>
      <c r="Z52" s="31"/>
      <c r="AA52" s="31"/>
    </row>
    <row r="54" spans="2:27" x14ac:dyDescent="0.25">
      <c r="E54" t="s">
        <v>468</v>
      </c>
      <c r="G54" t="s">
        <v>283</v>
      </c>
      <c r="H54" s="89"/>
      <c r="I54" s="89"/>
      <c r="J54" s="89">
        <f t="shared" ref="J54:Y54" si="5">J48 * hours_in_year / J24</f>
        <v>1.2618849299931794</v>
      </c>
      <c r="K54" s="89">
        <f t="shared" si="5"/>
        <v>1.2618849299931794</v>
      </c>
      <c r="L54" s="89">
        <f t="shared" si="5"/>
        <v>1.1598055431857262</v>
      </c>
      <c r="M54" s="89">
        <f t="shared" si="5"/>
        <v>1.1598055431857262</v>
      </c>
      <c r="N54" s="89">
        <f t="shared" si="5"/>
        <v>1.1391544996036047</v>
      </c>
      <c r="O54" s="89">
        <f t="shared" si="5"/>
        <v>1.2394365290685878</v>
      </c>
      <c r="P54" s="89">
        <f t="shared" si="5"/>
        <v>1.0899718138446186</v>
      </c>
      <c r="Q54" s="89">
        <f t="shared" si="5"/>
        <v>1.503294543234776</v>
      </c>
      <c r="R54" s="89">
        <f t="shared" si="5"/>
        <v>1.1516648347009084</v>
      </c>
      <c r="S54" s="89">
        <f t="shared" si="5"/>
        <v>0</v>
      </c>
      <c r="T54" s="89">
        <f t="shared" si="5"/>
        <v>1.0004308561199655</v>
      </c>
      <c r="U54" s="89">
        <f t="shared" si="5"/>
        <v>0</v>
      </c>
      <c r="V54" s="89">
        <f t="shared" si="5"/>
        <v>0.9540426128090066</v>
      </c>
      <c r="W54" s="89">
        <f t="shared" si="5"/>
        <v>0</v>
      </c>
      <c r="X54" s="89">
        <f t="shared" si="5"/>
        <v>1.7943258496449215</v>
      </c>
      <c r="Y54" s="89">
        <f t="shared" si="5"/>
        <v>0</v>
      </c>
    </row>
    <row r="55" spans="2:27" x14ac:dyDescent="0.25">
      <c r="J55" s="63"/>
      <c r="K55" s="63"/>
      <c r="L55" s="63"/>
      <c r="M55" s="63"/>
      <c r="N55" s="63"/>
      <c r="O55" s="63"/>
      <c r="P55" s="63"/>
      <c r="Q55" s="63"/>
      <c r="R55" s="63"/>
      <c r="S55" s="63"/>
      <c r="T55" s="63"/>
      <c r="U55" s="63"/>
      <c r="V55" s="63"/>
      <c r="W55" s="63"/>
      <c r="X55" s="63"/>
      <c r="Y55" s="63"/>
    </row>
    <row r="56" spans="2:27" x14ac:dyDescent="0.25">
      <c r="B56" s="30" t="s">
        <v>469</v>
      </c>
      <c r="C56" s="105"/>
      <c r="D56" s="104"/>
      <c r="E56" s="104"/>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25">
      <c r="F57" s="28"/>
      <c r="G57" s="28"/>
    </row>
    <row r="58" spans="2:27" x14ac:dyDescent="0.25">
      <c r="C58" s="29" t="s">
        <v>470</v>
      </c>
      <c r="F58" s="28"/>
      <c r="G58" s="28"/>
    </row>
    <row r="59" spans="2:27" x14ac:dyDescent="0.25">
      <c r="F59" s="28"/>
      <c r="G59" s="28"/>
    </row>
    <row r="60" spans="2:27" x14ac:dyDescent="0.25">
      <c r="C60" s="31" t="str">
        <f ca="1">INDEX('Version control'!$H$34:$H$57,MATCH($A$1,'Version control'!$F$34:$F$57,0),1)&amp;"-E: Load characteristics for all customers"</f>
        <v>Section 105-E: Load characteristics for all customers</v>
      </c>
      <c r="D60" s="31"/>
      <c r="E60" s="31"/>
      <c r="F60" s="31"/>
      <c r="G60" s="31"/>
      <c r="H60" s="31"/>
      <c r="I60" s="31"/>
      <c r="J60" s="31"/>
      <c r="K60" s="31"/>
      <c r="L60" s="31"/>
      <c r="M60" s="31"/>
      <c r="N60" s="31"/>
      <c r="O60" s="31"/>
      <c r="P60" s="31"/>
      <c r="Q60" s="31"/>
      <c r="R60" s="31"/>
      <c r="S60" s="31"/>
      <c r="T60" s="31"/>
      <c r="U60" s="31"/>
      <c r="V60" s="31"/>
      <c r="W60" s="31"/>
      <c r="X60" s="31"/>
      <c r="Y60" s="31"/>
      <c r="Z60" s="31"/>
      <c r="AA60" s="31"/>
    </row>
    <row r="61" spans="2:27" x14ac:dyDescent="0.25">
      <c r="D61" s="32"/>
      <c r="J61" s="25"/>
      <c r="K61" s="25"/>
      <c r="L61" s="25"/>
      <c r="M61" s="25"/>
      <c r="N61" s="25"/>
      <c r="O61" s="25"/>
      <c r="P61" s="25"/>
      <c r="Q61" s="25"/>
      <c r="R61" s="25"/>
      <c r="S61" s="25"/>
      <c r="T61" s="25"/>
      <c r="U61" s="25"/>
      <c r="V61" s="25"/>
      <c r="W61" s="25"/>
      <c r="X61" s="25"/>
      <c r="Y61" s="25"/>
    </row>
    <row r="62" spans="2:27" x14ac:dyDescent="0.25">
      <c r="E62" s="28" t="s">
        <v>241</v>
      </c>
      <c r="G62" s="28" t="s">
        <v>167</v>
      </c>
      <c r="J62" s="25">
        <f>'Inputs by customer type'!J15</f>
        <v>0.44397974678068536</v>
      </c>
      <c r="K62" s="25">
        <f>'Inputs by customer type'!K15</f>
        <v>0.13881219556888127</v>
      </c>
      <c r="L62" s="25">
        <f>'Inputs by customer type'!L15</f>
        <v>0.44123279801225818</v>
      </c>
      <c r="M62" s="25">
        <f>'Inputs by customer type'!M15</f>
        <v>0.23368731396163733</v>
      </c>
      <c r="N62" s="25">
        <f>'Inputs by customer type'!N15</f>
        <v>0.54167163750777603</v>
      </c>
      <c r="O62" s="25">
        <f>'Inputs by customer type'!O15</f>
        <v>0.58486871631825632</v>
      </c>
      <c r="P62" s="25">
        <f>'Inputs by customer type'!P15</f>
        <v>0.72784375510387</v>
      </c>
      <c r="Q62" s="25">
        <f>'Inputs by customer type'!Q15</f>
        <v>0.48743237159494751</v>
      </c>
      <c r="R62" s="25">
        <f>'Inputs by customer type'!R15</f>
        <v>0</v>
      </c>
      <c r="S62" s="25">
        <f>'Inputs by customer type'!S15</f>
        <v>0</v>
      </c>
      <c r="T62" s="25">
        <f>'Inputs by customer type'!T15</f>
        <v>0</v>
      </c>
      <c r="U62" s="25">
        <f>'Inputs by customer type'!U15</f>
        <v>0</v>
      </c>
      <c r="V62" s="25">
        <f>'Inputs by customer type'!V15</f>
        <v>0</v>
      </c>
      <c r="W62" s="25">
        <f>'Inputs by customer type'!W15</f>
        <v>0</v>
      </c>
      <c r="X62" s="25">
        <f>'Inputs by customer type'!X15</f>
        <v>0</v>
      </c>
      <c r="Y62" s="25">
        <f>'Inputs by customer type'!Y15</f>
        <v>0</v>
      </c>
    </row>
    <row r="63" spans="2:27" x14ac:dyDescent="0.25">
      <c r="E63" s="28" t="s">
        <v>243</v>
      </c>
      <c r="G63" s="28" t="s">
        <v>167</v>
      </c>
      <c r="J63" s="25">
        <f>'Inputs by customer type'!J16</f>
        <v>0.92943558119766034</v>
      </c>
      <c r="K63" s="25">
        <f>'Inputs by customer type'!K16</f>
        <v>0</v>
      </c>
      <c r="L63" s="25">
        <f>'Inputs by customer type'!L16</f>
        <v>0.73458407223121769</v>
      </c>
      <c r="M63" s="25">
        <f>'Inputs by customer type'!M16</f>
        <v>0</v>
      </c>
      <c r="N63" s="25">
        <f>'Inputs by customer type'!N16</f>
        <v>0.75242030147382444</v>
      </c>
      <c r="O63" s="25">
        <f>'Inputs by customer type'!O16</f>
        <v>0.81322560909437147</v>
      </c>
      <c r="P63" s="25">
        <f>'Inputs by customer type'!P16</f>
        <v>0.81073093236674865</v>
      </c>
      <c r="Q63" s="25">
        <f>'Inputs by customer type'!Q16</f>
        <v>0.93118677493939328</v>
      </c>
      <c r="R63" s="25">
        <f>'Inputs by customer type'!R16</f>
        <v>0</v>
      </c>
      <c r="S63" s="25">
        <f>'Inputs by customer type'!S16</f>
        <v>0</v>
      </c>
      <c r="T63" s="25">
        <f>'Inputs by customer type'!T16</f>
        <v>0</v>
      </c>
      <c r="U63" s="25">
        <f>'Inputs by customer type'!U16</f>
        <v>0</v>
      </c>
      <c r="V63" s="25">
        <f>'Inputs by customer type'!V16</f>
        <v>0</v>
      </c>
      <c r="W63" s="25">
        <f>'Inputs by customer type'!W16</f>
        <v>0</v>
      </c>
      <c r="X63" s="25">
        <f>'Inputs by customer type'!X16</f>
        <v>0</v>
      </c>
      <c r="Y63" s="25">
        <f>'Inputs by customer type'!Y16</f>
        <v>0</v>
      </c>
    </row>
    <row r="64" spans="2:27" x14ac:dyDescent="0.25">
      <c r="F64" s="28"/>
      <c r="G64" s="28"/>
      <c r="J64" s="25"/>
      <c r="K64" s="25"/>
      <c r="L64" s="25"/>
      <c r="M64" s="25"/>
      <c r="N64" s="25"/>
      <c r="O64" s="25"/>
      <c r="P64" s="25"/>
      <c r="Q64" s="25"/>
      <c r="R64" s="25"/>
      <c r="S64" s="25"/>
      <c r="T64" s="25"/>
      <c r="U64" s="25"/>
      <c r="V64" s="25"/>
      <c r="W64" s="25"/>
      <c r="X64" s="25"/>
      <c r="Y64" s="25"/>
    </row>
    <row r="65" spans="3:27" x14ac:dyDescent="0.25">
      <c r="C65" s="31" t="str">
        <f ca="1">INDEX('Version control'!$H$34:$H$57,MATCH($A$1,'Version control'!$F$34:$F$57,0),1)&amp;"-F: Aggregated load characteristics for grouped customers"</f>
        <v>Section 105-F: Aggregated load characteristics for grouped customers</v>
      </c>
      <c r="D65" s="31"/>
      <c r="E65" s="31"/>
      <c r="F65" s="31"/>
      <c r="G65" s="31"/>
      <c r="H65" s="31"/>
      <c r="I65" s="31"/>
      <c r="J65" s="31"/>
      <c r="K65" s="31"/>
      <c r="L65" s="31"/>
      <c r="M65" s="31"/>
      <c r="N65" s="31"/>
      <c r="O65" s="31"/>
      <c r="P65" s="31"/>
      <c r="Q65" s="31"/>
      <c r="R65" s="31"/>
      <c r="S65" s="31"/>
      <c r="T65" s="31"/>
      <c r="U65" s="31"/>
      <c r="V65" s="31"/>
      <c r="W65" s="31"/>
      <c r="X65" s="31"/>
      <c r="Y65" s="31"/>
      <c r="Z65" s="31"/>
      <c r="AA65" s="31"/>
    </row>
    <row r="67" spans="3:27" x14ac:dyDescent="0.25">
      <c r="D67" s="32" t="s">
        <v>1010</v>
      </c>
      <c r="E67" s="28"/>
      <c r="F67" s="28"/>
      <c r="G67" s="28"/>
    </row>
    <row r="68" spans="3:27" x14ac:dyDescent="0.25">
      <c r="D68" s="32"/>
      <c r="E68" s="28"/>
      <c r="F68" s="28"/>
      <c r="G68" s="28"/>
    </row>
    <row r="69" spans="3:27" x14ac:dyDescent="0.25">
      <c r="D69" s="32"/>
      <c r="E69" s="28" t="s">
        <v>1011</v>
      </c>
      <c r="F69" s="28"/>
      <c r="G69" s="28" t="s">
        <v>172</v>
      </c>
      <c r="J69" s="89">
        <f>J34 / hours_in_year</f>
        <v>1006.6471185216383</v>
      </c>
      <c r="K69" s="89">
        <f>K34 / hours_in_year</f>
        <v>1.8475816684729867</v>
      </c>
      <c r="L69" s="89">
        <f>L34 / hours_in_year</f>
        <v>361.57342481802829</v>
      </c>
      <c r="M69" s="89">
        <f>M34 / hours_in_year</f>
        <v>0.26109553464642421</v>
      </c>
      <c r="N69" s="326"/>
      <c r="O69" s="326"/>
      <c r="P69" s="326"/>
      <c r="Q69" s="326"/>
      <c r="R69" s="326"/>
      <c r="S69" s="326"/>
      <c r="T69" s="326"/>
      <c r="U69" s="326"/>
      <c r="V69" s="326"/>
      <c r="W69" s="326"/>
      <c r="X69" s="326"/>
      <c r="Y69" s="326"/>
    </row>
    <row r="70" spans="3:27" x14ac:dyDescent="0.25">
      <c r="D70" s="32"/>
      <c r="E70" s="28"/>
      <c r="F70" s="28"/>
      <c r="G70" s="28"/>
    </row>
    <row r="71" spans="3:27" x14ac:dyDescent="0.25">
      <c r="D71" s="32"/>
      <c r="E71" s="28" t="s">
        <v>471</v>
      </c>
      <c r="F71" s="28"/>
      <c r="G71" s="28" t="s">
        <v>172</v>
      </c>
      <c r="J71" s="89">
        <f>IF(J62 = 0, 0, J34 / (J62 * hours_in_year))</f>
        <v>2267.3266648329709</v>
      </c>
      <c r="K71" s="89">
        <f>IF(K62 = 0, 0, K34 / (K62 * hours_in_year))</f>
        <v>13.309937652820865</v>
      </c>
      <c r="L71" s="89">
        <f>IF(L62 = 0, 0, L34 / (L62 * hours_in_year))</f>
        <v>819.46180439647003</v>
      </c>
      <c r="M71" s="89">
        <f>IF(M62 = 0, 0, M34 / (M62 * hours_in_year))</f>
        <v>1.1172858732472155</v>
      </c>
      <c r="N71" s="326"/>
      <c r="O71" s="326"/>
      <c r="P71" s="326"/>
      <c r="Q71" s="326"/>
      <c r="R71" s="326"/>
      <c r="S71" s="326"/>
      <c r="T71" s="326"/>
      <c r="U71" s="326"/>
      <c r="V71" s="326"/>
      <c r="W71" s="326"/>
      <c r="X71" s="326"/>
      <c r="Y71" s="326"/>
    </row>
    <row r="72" spans="3:27" x14ac:dyDescent="0.25">
      <c r="D72" s="32"/>
      <c r="E72" s="28"/>
      <c r="F72" s="28"/>
      <c r="G72" s="28"/>
    </row>
    <row r="73" spans="3:27" x14ac:dyDescent="0.25">
      <c r="D73" s="32"/>
      <c r="E73" s="28" t="s">
        <v>1012</v>
      </c>
      <c r="F73" s="28"/>
      <c r="G73" s="28" t="s">
        <v>172</v>
      </c>
      <c r="J73" s="89">
        <f>J71 * J63</f>
        <v>2107.3340764939853</v>
      </c>
      <c r="K73" s="89">
        <f t="shared" ref="K73:M73" si="6">K71 * K63</f>
        <v>0</v>
      </c>
      <c r="L73" s="89">
        <f t="shared" si="6"/>
        <v>601.96358931150053</v>
      </c>
      <c r="M73" s="89">
        <f t="shared" si="6"/>
        <v>0</v>
      </c>
      <c r="N73" s="326"/>
      <c r="O73" s="326"/>
      <c r="P73" s="326"/>
      <c r="Q73" s="326"/>
      <c r="R73" s="326"/>
      <c r="S73" s="326"/>
      <c r="T73" s="326"/>
      <c r="U73" s="326"/>
      <c r="V73" s="326"/>
      <c r="W73" s="326"/>
      <c r="X73" s="326"/>
      <c r="Y73" s="326"/>
    </row>
    <row r="74" spans="3:27" x14ac:dyDescent="0.25">
      <c r="D74" s="32"/>
      <c r="E74" s="28"/>
      <c r="F74" s="28"/>
      <c r="G74" s="28"/>
    </row>
    <row r="75" spans="3:27" x14ac:dyDescent="0.25">
      <c r="D75" s="32" t="s">
        <v>1013</v>
      </c>
      <c r="E75" s="28"/>
      <c r="F75" s="28"/>
      <c r="G75" s="28"/>
    </row>
    <row r="76" spans="3:27" x14ac:dyDescent="0.25">
      <c r="D76" s="32"/>
      <c r="E76" s="28"/>
      <c r="F76" s="28"/>
      <c r="G76" s="28"/>
    </row>
    <row r="77" spans="3:27" x14ac:dyDescent="0.25">
      <c r="D77" s="32"/>
      <c r="E77" s="28" t="s">
        <v>241</v>
      </c>
      <c r="F77" s="28"/>
      <c r="G77" s="28" t="s">
        <v>167</v>
      </c>
      <c r="J77" s="145">
        <f>SUMIF($J$38:$Y$38, J$38, $J$69:$Y$69) / SUMIF($J$38:$Y$38, J$38, $J$71:$Y$71)</f>
        <v>0.44219876989209822</v>
      </c>
      <c r="K77" s="145">
        <f t="shared" ref="K77:M77" si="7">SUMIF($J$38:$Y$38, K$38, $J$69:$Y$69) / SUMIF($J$38:$Y$38, K$38, $J$71:$Y$71)</f>
        <v>0.44219876989209822</v>
      </c>
      <c r="L77" s="145">
        <f t="shared" si="7"/>
        <v>0.44095020777795207</v>
      </c>
      <c r="M77" s="145">
        <f t="shared" si="7"/>
        <v>0.44095020777795207</v>
      </c>
      <c r="N77" s="326"/>
      <c r="O77" s="326"/>
      <c r="P77" s="326"/>
      <c r="Q77" s="326"/>
      <c r="R77" s="326"/>
      <c r="S77" s="326"/>
      <c r="T77" s="326"/>
      <c r="U77" s="326"/>
      <c r="V77" s="326"/>
      <c r="W77" s="326"/>
      <c r="X77" s="326"/>
      <c r="Y77" s="326"/>
    </row>
    <row r="78" spans="3:27" x14ac:dyDescent="0.25">
      <c r="D78" s="32"/>
      <c r="E78" s="28"/>
      <c r="F78" s="28"/>
      <c r="G78" s="28"/>
    </row>
    <row r="79" spans="3:27" x14ac:dyDescent="0.25">
      <c r="D79" s="32"/>
      <c r="E79" s="28" t="s">
        <v>243</v>
      </c>
      <c r="F79" s="28"/>
      <c r="G79" s="28" t="s">
        <v>167</v>
      </c>
      <c r="J79" s="145">
        <f>SUMIF($J$38:$Y$38, J$38, $J$73:$Y$73) / SUMIF($J$38:$Y$38, J$38, $J$71:$Y$71)</f>
        <v>0.92401133709644301</v>
      </c>
      <c r="K79" s="145">
        <f t="shared" ref="K79:M79" si="8">SUMIF($J$38:$Y$38, K$38, $J$73:$Y$73) / SUMIF($J$38:$Y$38, K$38, $J$71:$Y$71)</f>
        <v>0.92401133709644301</v>
      </c>
      <c r="L79" s="145">
        <f t="shared" si="8"/>
        <v>0.73358387564279803</v>
      </c>
      <c r="M79" s="145">
        <f t="shared" si="8"/>
        <v>0.73358387564279803</v>
      </c>
      <c r="N79" s="326"/>
      <c r="O79" s="326"/>
      <c r="P79" s="326"/>
      <c r="Q79" s="326"/>
      <c r="R79" s="326"/>
      <c r="S79" s="326"/>
      <c r="T79" s="326"/>
      <c r="U79" s="326"/>
      <c r="V79" s="326"/>
      <c r="W79" s="326"/>
      <c r="X79" s="326"/>
      <c r="Y79" s="326"/>
    </row>
    <row r="80" spans="3:27" x14ac:dyDescent="0.25">
      <c r="D80" s="32"/>
      <c r="E80" s="28"/>
      <c r="F80" s="28"/>
      <c r="G80" s="28"/>
    </row>
    <row r="81" spans="2:27" x14ac:dyDescent="0.25">
      <c r="D81" s="32" t="s">
        <v>1014</v>
      </c>
      <c r="E81" s="28"/>
      <c r="F81" s="28"/>
      <c r="G81" s="28"/>
    </row>
    <row r="82" spans="2:27" x14ac:dyDescent="0.25">
      <c r="D82" s="28"/>
      <c r="E82" s="28"/>
      <c r="F82" s="28"/>
      <c r="G82" s="28"/>
    </row>
    <row r="83" spans="2:27" x14ac:dyDescent="0.25">
      <c r="D83" s="28"/>
      <c r="E83" s="28" t="s">
        <v>241</v>
      </c>
      <c r="F83" s="28"/>
      <c r="G83" s="28" t="s">
        <v>167</v>
      </c>
      <c r="J83" s="145">
        <f>IF(J$38 = 0, J62, J77)</f>
        <v>0.44219876989209822</v>
      </c>
      <c r="K83" s="145">
        <f t="shared" ref="K83:Y83" si="9">IF(K$38 = 0, K62, K77)</f>
        <v>0.44219876989209822</v>
      </c>
      <c r="L83" s="145">
        <f t="shared" si="9"/>
        <v>0.44095020777795207</v>
      </c>
      <c r="M83" s="145">
        <f t="shared" si="9"/>
        <v>0.44095020777795207</v>
      </c>
      <c r="N83" s="145">
        <f t="shared" si="9"/>
        <v>0.54167163750777603</v>
      </c>
      <c r="O83" s="145">
        <f t="shared" si="9"/>
        <v>0.58486871631825632</v>
      </c>
      <c r="P83" s="145">
        <f t="shared" si="9"/>
        <v>0.72784375510387</v>
      </c>
      <c r="Q83" s="145">
        <f t="shared" si="9"/>
        <v>0.48743237159494751</v>
      </c>
      <c r="R83" s="145">
        <f t="shared" si="9"/>
        <v>0</v>
      </c>
      <c r="S83" s="145">
        <f t="shared" si="9"/>
        <v>0</v>
      </c>
      <c r="T83" s="145">
        <f t="shared" si="9"/>
        <v>0</v>
      </c>
      <c r="U83" s="145">
        <f t="shared" si="9"/>
        <v>0</v>
      </c>
      <c r="V83" s="145">
        <f t="shared" si="9"/>
        <v>0</v>
      </c>
      <c r="W83" s="145">
        <f t="shared" si="9"/>
        <v>0</v>
      </c>
      <c r="X83" s="145">
        <f t="shared" si="9"/>
        <v>0</v>
      </c>
      <c r="Y83" s="145">
        <f t="shared" si="9"/>
        <v>0</v>
      </c>
    </row>
    <row r="84" spans="2:27" x14ac:dyDescent="0.25">
      <c r="D84" s="28"/>
      <c r="E84" s="28"/>
      <c r="F84" s="28"/>
      <c r="G84" s="28"/>
    </row>
    <row r="85" spans="2:27" x14ac:dyDescent="0.25">
      <c r="D85" s="28"/>
      <c r="E85" s="28" t="s">
        <v>243</v>
      </c>
      <c r="F85" s="28"/>
      <c r="G85" s="28" t="s">
        <v>167</v>
      </c>
      <c r="J85" s="145">
        <f>IF(J38 = 0, J63, J79)</f>
        <v>0.92401133709644301</v>
      </c>
      <c r="K85" s="145">
        <f t="shared" ref="K85:Y85" si="10">IF(K38 = 0, K63, K79)</f>
        <v>0.92401133709644301</v>
      </c>
      <c r="L85" s="145">
        <f t="shared" si="10"/>
        <v>0.73358387564279803</v>
      </c>
      <c r="M85" s="145">
        <f t="shared" si="10"/>
        <v>0.73358387564279803</v>
      </c>
      <c r="N85" s="145">
        <f t="shared" si="10"/>
        <v>0.75242030147382444</v>
      </c>
      <c r="O85" s="145">
        <f t="shared" si="10"/>
        <v>0.81322560909437147</v>
      </c>
      <c r="P85" s="145">
        <f t="shared" si="10"/>
        <v>0.81073093236674865</v>
      </c>
      <c r="Q85" s="145">
        <f t="shared" si="10"/>
        <v>0.93118677493939328</v>
      </c>
      <c r="R85" s="145">
        <f t="shared" si="10"/>
        <v>0</v>
      </c>
      <c r="S85" s="145">
        <f t="shared" si="10"/>
        <v>0</v>
      </c>
      <c r="T85" s="145">
        <f t="shared" si="10"/>
        <v>0</v>
      </c>
      <c r="U85" s="145">
        <f t="shared" si="10"/>
        <v>0</v>
      </c>
      <c r="V85" s="145">
        <f t="shared" si="10"/>
        <v>0</v>
      </c>
      <c r="W85" s="145">
        <f t="shared" si="10"/>
        <v>0</v>
      </c>
      <c r="X85" s="145">
        <f t="shared" si="10"/>
        <v>0</v>
      </c>
      <c r="Y85" s="145">
        <f t="shared" si="10"/>
        <v>0</v>
      </c>
    </row>
    <row r="87" spans="2:27" x14ac:dyDescent="0.25">
      <c r="C87" s="31" t="str">
        <f ca="1">INDEX('Version control'!$H$34:$H$57,MATCH($A$1,'Version control'!$F$34:$F$57,0),1)&amp;"-G: Calculation of correction factor"</f>
        <v>Section 105-G: Calculation of correction factor</v>
      </c>
      <c r="D87" s="31"/>
      <c r="E87" s="31"/>
      <c r="F87" s="31"/>
      <c r="G87" s="31"/>
      <c r="H87" s="31"/>
      <c r="I87" s="31"/>
      <c r="J87" s="31"/>
      <c r="K87" s="31"/>
      <c r="L87" s="31"/>
      <c r="M87" s="31"/>
      <c r="N87" s="31"/>
      <c r="O87" s="31"/>
      <c r="P87" s="31"/>
      <c r="Q87" s="31"/>
      <c r="R87" s="31"/>
      <c r="S87" s="31"/>
      <c r="T87" s="31"/>
      <c r="U87" s="31"/>
      <c r="V87" s="31"/>
      <c r="W87" s="31"/>
      <c r="X87" s="31"/>
      <c r="Y87" s="31"/>
      <c r="Z87" s="31"/>
      <c r="AA87" s="31"/>
    </row>
    <row r="89" spans="2:27" x14ac:dyDescent="0.25">
      <c r="E89" s="28" t="s">
        <v>472</v>
      </c>
      <c r="G89" s="28" t="s">
        <v>283</v>
      </c>
      <c r="J89" s="89">
        <f t="shared" ref="J89:Y89" si="11">IF(AND(J62 = 0, J63 = 0), 1, J63 / J62)</f>
        <v>2.0934188731288632</v>
      </c>
      <c r="K89" s="89">
        <f t="shared" si="11"/>
        <v>0</v>
      </c>
      <c r="L89" s="89">
        <f t="shared" si="11"/>
        <v>1.6648446705242654</v>
      </c>
      <c r="M89" s="89">
        <f t="shared" si="11"/>
        <v>0</v>
      </c>
      <c r="N89" s="89">
        <f t="shared" si="11"/>
        <v>1.3890708860735264</v>
      </c>
      <c r="O89" s="89">
        <f t="shared" si="11"/>
        <v>1.3904412843511615</v>
      </c>
      <c r="P89" s="89">
        <f t="shared" si="11"/>
        <v>1.1138804539870646</v>
      </c>
      <c r="Q89" s="89">
        <f t="shared" si="11"/>
        <v>1.9103917367909291</v>
      </c>
      <c r="R89" s="89">
        <f t="shared" si="11"/>
        <v>1</v>
      </c>
      <c r="S89" s="89">
        <f t="shared" si="11"/>
        <v>1</v>
      </c>
      <c r="T89" s="89">
        <f t="shared" si="11"/>
        <v>1</v>
      </c>
      <c r="U89" s="89">
        <f t="shared" si="11"/>
        <v>1</v>
      </c>
      <c r="V89" s="89">
        <f t="shared" si="11"/>
        <v>1</v>
      </c>
      <c r="W89" s="89">
        <f t="shared" si="11"/>
        <v>1</v>
      </c>
      <c r="X89" s="89">
        <f t="shared" si="11"/>
        <v>1</v>
      </c>
      <c r="Y89" s="89">
        <f t="shared" si="11"/>
        <v>1</v>
      </c>
    </row>
    <row r="90" spans="2:27" x14ac:dyDescent="0.25">
      <c r="D90" s="32"/>
      <c r="J90" s="120"/>
      <c r="K90" s="120"/>
      <c r="L90" s="120"/>
      <c r="M90" s="120"/>
      <c r="N90" s="120"/>
      <c r="O90" s="120"/>
      <c r="P90" s="120"/>
      <c r="Q90" s="120"/>
      <c r="R90" s="120"/>
      <c r="S90" s="120"/>
      <c r="T90" s="120"/>
      <c r="U90" s="120"/>
      <c r="V90" s="120"/>
      <c r="W90" s="120"/>
      <c r="X90" s="120"/>
      <c r="Y90" s="120"/>
    </row>
    <row r="91" spans="2:27" x14ac:dyDescent="0.25">
      <c r="E91" s="28" t="s">
        <v>1015</v>
      </c>
      <c r="G91" s="28" t="s">
        <v>283</v>
      </c>
      <c r="I91" s="330" t="s">
        <v>154</v>
      </c>
      <c r="J91" s="89">
        <f>IF(AND(J83 = 0, J85 = 0), 1, J85 / J83)</f>
        <v>2.0895836895292876</v>
      </c>
      <c r="K91" s="89">
        <f t="shared" ref="K91:Y91" si="12">IF(AND(K83 = 0, K85 = 0), 1, K85 / K83)</f>
        <v>2.0895836895292876</v>
      </c>
      <c r="L91" s="89">
        <f t="shared" si="12"/>
        <v>1.6636433381888927</v>
      </c>
      <c r="M91" s="89">
        <f t="shared" si="12"/>
        <v>1.6636433381888927</v>
      </c>
      <c r="N91" s="89">
        <f t="shared" si="12"/>
        <v>1.3890708860735264</v>
      </c>
      <c r="O91" s="89">
        <f t="shared" si="12"/>
        <v>1.3904412843511615</v>
      </c>
      <c r="P91" s="89">
        <f t="shared" si="12"/>
        <v>1.1138804539870646</v>
      </c>
      <c r="Q91" s="89">
        <f t="shared" si="12"/>
        <v>1.9103917367909291</v>
      </c>
      <c r="R91" s="89">
        <f t="shared" si="12"/>
        <v>1</v>
      </c>
      <c r="S91" s="89">
        <f t="shared" si="12"/>
        <v>1</v>
      </c>
      <c r="T91" s="89">
        <f t="shared" si="12"/>
        <v>1</v>
      </c>
      <c r="U91" s="89">
        <f t="shared" si="12"/>
        <v>1</v>
      </c>
      <c r="V91" s="89">
        <f t="shared" si="12"/>
        <v>1</v>
      </c>
      <c r="W91" s="89">
        <f t="shared" si="12"/>
        <v>1</v>
      </c>
      <c r="X91" s="89">
        <f t="shared" si="12"/>
        <v>1</v>
      </c>
      <c r="Y91" s="89">
        <f t="shared" si="12"/>
        <v>1</v>
      </c>
      <c r="Z91" s="89"/>
      <c r="AA91" s="330" t="s">
        <v>1020</v>
      </c>
    </row>
    <row r="92" spans="2:27" x14ac:dyDescent="0.25">
      <c r="D92" s="32"/>
      <c r="J92" s="120"/>
      <c r="K92" s="120"/>
      <c r="L92" s="120"/>
      <c r="M92" s="120"/>
      <c r="N92" s="120"/>
      <c r="O92" s="120"/>
      <c r="P92" s="120"/>
      <c r="Q92" s="120"/>
      <c r="R92" s="120"/>
      <c r="S92" s="120"/>
      <c r="T92" s="120"/>
      <c r="U92" s="120"/>
      <c r="V92" s="120"/>
      <c r="W92" s="120"/>
      <c r="X92" s="120"/>
      <c r="Y92" s="120"/>
    </row>
    <row r="93" spans="2:27" x14ac:dyDescent="0.25">
      <c r="E93" s="28" t="s">
        <v>473</v>
      </c>
      <c r="G93" s="28" t="s">
        <v>283</v>
      </c>
      <c r="I93" t="s">
        <v>154</v>
      </c>
      <c r="J93" s="89">
        <f>IF(OR(J54 = 0, J85 = 0), 1, J91 / J54)</f>
        <v>1.6559225329211136</v>
      </c>
      <c r="K93" s="89">
        <f t="shared" ref="K93:Y93" si="13">IF(OR(K54 = 0, K85 = 0), 1, K91 / K54)</f>
        <v>1.6559225329211136</v>
      </c>
      <c r="L93" s="89">
        <f t="shared" si="13"/>
        <v>1.434415750091379</v>
      </c>
      <c r="M93" s="89">
        <f t="shared" si="13"/>
        <v>1.434415750091379</v>
      </c>
      <c r="N93" s="89">
        <f t="shared" si="13"/>
        <v>1.2193876129681145</v>
      </c>
      <c r="O93" s="89">
        <f t="shared" si="13"/>
        <v>1.1218333910136171</v>
      </c>
      <c r="P93" s="89">
        <f t="shared" si="13"/>
        <v>1.0219350994574015</v>
      </c>
      <c r="Q93" s="89">
        <f t="shared" si="13"/>
        <v>1.2708033468146336</v>
      </c>
      <c r="R93" s="89">
        <f t="shared" si="13"/>
        <v>1</v>
      </c>
      <c r="S93" s="89">
        <f t="shared" si="13"/>
        <v>1</v>
      </c>
      <c r="T93" s="89">
        <f t="shared" si="13"/>
        <v>1</v>
      </c>
      <c r="U93" s="89">
        <f t="shared" si="13"/>
        <v>1</v>
      </c>
      <c r="V93" s="89">
        <f t="shared" si="13"/>
        <v>1</v>
      </c>
      <c r="W93" s="89">
        <f t="shared" si="13"/>
        <v>1</v>
      </c>
      <c r="X93" s="89">
        <f t="shared" si="13"/>
        <v>1</v>
      </c>
      <c r="Y93" s="89">
        <f t="shared" si="13"/>
        <v>1</v>
      </c>
      <c r="AA93" t="s">
        <v>474</v>
      </c>
    </row>
    <row r="94" spans="2:27" x14ac:dyDescent="0.25">
      <c r="F94" s="28"/>
      <c r="G94" s="28"/>
    </row>
    <row r="95" spans="2:27" x14ac:dyDescent="0.25">
      <c r="B95" s="30" t="s">
        <v>475</v>
      </c>
      <c r="C95" s="105"/>
      <c r="D95" s="104"/>
      <c r="E95" s="104"/>
      <c r="F95" s="105"/>
      <c r="G95" s="105"/>
      <c r="H95" s="105"/>
      <c r="I95" s="105"/>
      <c r="J95" s="105"/>
      <c r="K95" s="105"/>
      <c r="L95" s="105"/>
      <c r="M95" s="105"/>
      <c r="N95" s="105"/>
      <c r="O95" s="105"/>
      <c r="P95" s="105"/>
      <c r="Q95" s="105"/>
      <c r="R95" s="105"/>
      <c r="S95" s="105"/>
      <c r="T95" s="105"/>
      <c r="U95" s="105"/>
      <c r="V95" s="105"/>
      <c r="W95" s="105"/>
      <c r="X95" s="105"/>
      <c r="Y95" s="105"/>
      <c r="Z95" s="105"/>
      <c r="AA95" s="105"/>
    </row>
    <row r="97" spans="3:27" x14ac:dyDescent="0.25">
      <c r="C97" s="29" t="s">
        <v>477</v>
      </c>
      <c r="I97" t="s">
        <v>154</v>
      </c>
      <c r="AA97" t="s">
        <v>476</v>
      </c>
    </row>
    <row r="98" spans="3:27" x14ac:dyDescent="0.25">
      <c r="C98" s="29" t="s">
        <v>478</v>
      </c>
    </row>
    <row r="100" spans="3:27" x14ac:dyDescent="0.25">
      <c r="C100" s="31" t="str">
        <f ca="1">INDEX('Version control'!$H$34:$H$57,MATCH($A$1,'Version control'!$F$34:$F$57,0),1)&amp;"-H: Peaking probabilities, by network level"</f>
        <v>Section 105-H: Peaking probabilities, by network level</v>
      </c>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row>
    <row r="102" spans="3:27" x14ac:dyDescent="0.25">
      <c r="E102" s="32" t="s">
        <v>479</v>
      </c>
      <c r="G102" s="28"/>
    </row>
    <row r="103" spans="3:27" x14ac:dyDescent="0.25">
      <c r="F103" s="78" t="s">
        <v>294</v>
      </c>
      <c r="G103" s="64" t="s">
        <v>167</v>
      </c>
      <c r="H103" s="107">
        <f>'Inputs by network level'!K40</f>
        <v>0.86380182993886667</v>
      </c>
    </row>
    <row r="104" spans="3:27" x14ac:dyDescent="0.25">
      <c r="F104" s="72" t="s">
        <v>295</v>
      </c>
      <c r="G104" s="28" t="s">
        <v>167</v>
      </c>
      <c r="H104" s="25">
        <f>'Inputs by network level'!K41</f>
        <v>0.13619817006113336</v>
      </c>
    </row>
    <row r="105" spans="3:27" x14ac:dyDescent="0.25">
      <c r="F105" s="80" t="s">
        <v>257</v>
      </c>
      <c r="G105" s="67" t="s">
        <v>167</v>
      </c>
      <c r="H105" s="141">
        <f>'Inputs by network level'!K42</f>
        <v>0</v>
      </c>
    </row>
    <row r="106" spans="3:27" x14ac:dyDescent="0.25">
      <c r="F106" s="78" t="s">
        <v>296</v>
      </c>
      <c r="G106" s="64" t="s">
        <v>167</v>
      </c>
      <c r="H106" s="107">
        <f>'Inputs by network level'!K43</f>
        <v>0.73017949738504206</v>
      </c>
    </row>
    <row r="107" spans="3:27" x14ac:dyDescent="0.25">
      <c r="F107" s="72" t="s">
        <v>305</v>
      </c>
      <c r="G107" s="28" t="s">
        <v>167</v>
      </c>
      <c r="H107" s="156">
        <f>SUM(H103:H104) - H106</f>
        <v>0.26982050261495794</v>
      </c>
    </row>
    <row r="108" spans="3:27" x14ac:dyDescent="0.25">
      <c r="F108" s="80" t="s">
        <v>257</v>
      </c>
      <c r="G108" s="67" t="s">
        <v>167</v>
      </c>
      <c r="H108" s="157">
        <f>H105</f>
        <v>0</v>
      </c>
    </row>
    <row r="109" spans="3:27" x14ac:dyDescent="0.25">
      <c r="F109" s="29"/>
      <c r="G109" s="28"/>
    </row>
    <row r="110" spans="3:27" x14ac:dyDescent="0.25">
      <c r="E110" s="32" t="s">
        <v>480</v>
      </c>
      <c r="G110" s="28"/>
    </row>
    <row r="111" spans="3:27" x14ac:dyDescent="0.25">
      <c r="F111" s="78" t="s">
        <v>465</v>
      </c>
      <c r="G111" s="64" t="s">
        <v>167</v>
      </c>
      <c r="H111" s="107">
        <f>'Inputs by network level'!L40</f>
        <v>0.741068762730685</v>
      </c>
    </row>
    <row r="112" spans="3:27" x14ac:dyDescent="0.25">
      <c r="F112" s="72" t="s">
        <v>466</v>
      </c>
      <c r="G112" s="28" t="s">
        <v>167</v>
      </c>
      <c r="H112" s="25">
        <f>'Inputs by network level'!L41</f>
        <v>0.23815127009110379</v>
      </c>
    </row>
    <row r="113" spans="5:8" x14ac:dyDescent="0.25">
      <c r="F113" s="80" t="s">
        <v>257</v>
      </c>
      <c r="G113" s="67" t="s">
        <v>167</v>
      </c>
      <c r="H113" s="141">
        <f>'Inputs by network level'!L42</f>
        <v>2.0779967178211251E-2</v>
      </c>
    </row>
    <row r="114" spans="5:8" x14ac:dyDescent="0.25">
      <c r="F114" s="78" t="s">
        <v>296</v>
      </c>
      <c r="G114" s="64" t="s">
        <v>167</v>
      </c>
      <c r="H114" s="107">
        <f>'Inputs by network level'!L43</f>
        <v>0.71176029509313998</v>
      </c>
    </row>
    <row r="115" spans="5:8" x14ac:dyDescent="0.25">
      <c r="F115" s="72" t="s">
        <v>305</v>
      </c>
      <c r="G115" s="28" t="s">
        <v>167</v>
      </c>
      <c r="H115" s="156">
        <f>SUM(H111:H112) - H114</f>
        <v>0.26745973772864884</v>
      </c>
    </row>
    <row r="116" spans="5:8" x14ac:dyDescent="0.25">
      <c r="F116" s="80" t="s">
        <v>257</v>
      </c>
      <c r="G116" s="67" t="s">
        <v>167</v>
      </c>
      <c r="H116" s="157">
        <f>H113</f>
        <v>2.0779967178211251E-2</v>
      </c>
    </row>
    <row r="117" spans="5:8" x14ac:dyDescent="0.25">
      <c r="F117" s="29"/>
      <c r="G117" s="28"/>
    </row>
    <row r="118" spans="5:8" x14ac:dyDescent="0.25">
      <c r="E118" s="32" t="s">
        <v>481</v>
      </c>
      <c r="G118" s="28"/>
    </row>
    <row r="119" spans="5:8" x14ac:dyDescent="0.25">
      <c r="F119" s="78" t="s">
        <v>465</v>
      </c>
      <c r="G119" s="64" t="s">
        <v>167</v>
      </c>
      <c r="H119" s="107">
        <f>'Inputs by network level'!M40</f>
        <v>0.741068762730685</v>
      </c>
    </row>
    <row r="120" spans="5:8" x14ac:dyDescent="0.25">
      <c r="F120" s="72" t="s">
        <v>466</v>
      </c>
      <c r="G120" s="28" t="s">
        <v>167</v>
      </c>
      <c r="H120" s="25">
        <f>'Inputs by network level'!M41</f>
        <v>0.23815127009110379</v>
      </c>
    </row>
    <row r="121" spans="5:8" x14ac:dyDescent="0.25">
      <c r="F121" s="80" t="s">
        <v>257</v>
      </c>
      <c r="G121" s="67" t="s">
        <v>167</v>
      </c>
      <c r="H121" s="141">
        <f>'Inputs by network level'!M42</f>
        <v>2.0779967178211251E-2</v>
      </c>
    </row>
    <row r="122" spans="5:8" x14ac:dyDescent="0.25">
      <c r="F122" s="78" t="s">
        <v>296</v>
      </c>
      <c r="G122" s="64" t="s">
        <v>167</v>
      </c>
      <c r="H122" s="107">
        <f>'Inputs by network level'!M43</f>
        <v>0.71176029509313998</v>
      </c>
    </row>
    <row r="123" spans="5:8" x14ac:dyDescent="0.25">
      <c r="F123" s="72" t="s">
        <v>305</v>
      </c>
      <c r="G123" s="28" t="s">
        <v>167</v>
      </c>
      <c r="H123" s="156">
        <f>SUM(H119:H120) - H122</f>
        <v>0.26745973772864884</v>
      </c>
    </row>
    <row r="124" spans="5:8" x14ac:dyDescent="0.25">
      <c r="F124" s="80" t="s">
        <v>257</v>
      </c>
      <c r="G124" s="67" t="s">
        <v>167</v>
      </c>
      <c r="H124" s="157">
        <f>H121</f>
        <v>2.0779967178211251E-2</v>
      </c>
    </row>
    <row r="125" spans="5:8" x14ac:dyDescent="0.25">
      <c r="F125" s="29"/>
      <c r="G125" s="28"/>
    </row>
    <row r="126" spans="5:8" x14ac:dyDescent="0.25">
      <c r="E126" s="32" t="s">
        <v>482</v>
      </c>
      <c r="G126" s="28"/>
    </row>
    <row r="127" spans="5:8" x14ac:dyDescent="0.25">
      <c r="F127" s="78" t="s">
        <v>465</v>
      </c>
      <c r="G127" s="64" t="s">
        <v>167</v>
      </c>
      <c r="H127" s="107">
        <f>'Inputs by network level'!N40</f>
        <v>0.62268099928741061</v>
      </c>
    </row>
    <row r="128" spans="5:8" x14ac:dyDescent="0.25">
      <c r="F128" s="72" t="s">
        <v>466</v>
      </c>
      <c r="G128" s="28" t="s">
        <v>167</v>
      </c>
      <c r="H128" s="25">
        <f>'Inputs by network level'!N41</f>
        <v>0.33360729355705693</v>
      </c>
    </row>
    <row r="129" spans="5:8" x14ac:dyDescent="0.25">
      <c r="F129" s="80" t="s">
        <v>257</v>
      </c>
      <c r="G129" s="67" t="s">
        <v>167</v>
      </c>
      <c r="H129" s="141">
        <f>'Inputs by network level'!N42</f>
        <v>4.3711707155532332E-2</v>
      </c>
    </row>
    <row r="130" spans="5:8" x14ac:dyDescent="0.25">
      <c r="F130" s="78" t="s">
        <v>296</v>
      </c>
      <c r="G130" s="64" t="s">
        <v>167</v>
      </c>
      <c r="H130" s="107">
        <f>'Inputs by network level'!N43</f>
        <v>0.60271442265322939</v>
      </c>
    </row>
    <row r="131" spans="5:8" x14ac:dyDescent="0.25">
      <c r="F131" s="72" t="s">
        <v>305</v>
      </c>
      <c r="G131" s="28" t="s">
        <v>167</v>
      </c>
      <c r="H131" s="156">
        <f>SUM(H127:H128) - H130</f>
        <v>0.3535738701912382</v>
      </c>
    </row>
    <row r="132" spans="5:8" x14ac:dyDescent="0.25">
      <c r="F132" s="80" t="s">
        <v>257</v>
      </c>
      <c r="G132" s="67" t="s">
        <v>167</v>
      </c>
      <c r="H132" s="157">
        <f>H129</f>
        <v>4.3711707155532332E-2</v>
      </c>
    </row>
    <row r="133" spans="5:8" x14ac:dyDescent="0.25">
      <c r="F133" s="29"/>
      <c r="G133" s="28"/>
    </row>
    <row r="134" spans="5:8" x14ac:dyDescent="0.25">
      <c r="E134" s="32" t="s">
        <v>483</v>
      </c>
      <c r="G134" s="28"/>
    </row>
    <row r="135" spans="5:8" x14ac:dyDescent="0.25">
      <c r="F135" s="78" t="s">
        <v>465</v>
      </c>
      <c r="G135" s="64" t="s">
        <v>167</v>
      </c>
      <c r="H135" s="107">
        <f>'Inputs by network level'!O40</f>
        <v>0.62268099928741061</v>
      </c>
    </row>
    <row r="136" spans="5:8" x14ac:dyDescent="0.25">
      <c r="F136" s="72" t="s">
        <v>466</v>
      </c>
      <c r="G136" s="28" t="s">
        <v>167</v>
      </c>
      <c r="H136" s="25">
        <f>'Inputs by network level'!O41</f>
        <v>0.33360729355705693</v>
      </c>
    </row>
    <row r="137" spans="5:8" x14ac:dyDescent="0.25">
      <c r="F137" s="80" t="s">
        <v>257</v>
      </c>
      <c r="G137" s="67" t="s">
        <v>167</v>
      </c>
      <c r="H137" s="141">
        <f>'Inputs by network level'!O42</f>
        <v>4.3711707155532332E-2</v>
      </c>
    </row>
    <row r="138" spans="5:8" x14ac:dyDescent="0.25">
      <c r="F138" s="78" t="s">
        <v>296</v>
      </c>
      <c r="G138" s="64" t="s">
        <v>167</v>
      </c>
      <c r="H138" s="107">
        <f>'Inputs by network level'!O43</f>
        <v>0.60271442265322939</v>
      </c>
    </row>
    <row r="139" spans="5:8" x14ac:dyDescent="0.25">
      <c r="F139" s="72" t="s">
        <v>305</v>
      </c>
      <c r="G139" s="28" t="s">
        <v>167</v>
      </c>
      <c r="H139" s="156">
        <f>SUM(H135:H136) - H138</f>
        <v>0.3535738701912382</v>
      </c>
    </row>
    <row r="140" spans="5:8" x14ac:dyDescent="0.25">
      <c r="F140" s="80" t="s">
        <v>257</v>
      </c>
      <c r="G140" s="67" t="s">
        <v>167</v>
      </c>
      <c r="H140" s="157">
        <f>H137</f>
        <v>4.3711707155532332E-2</v>
      </c>
    </row>
    <row r="141" spans="5:8" x14ac:dyDescent="0.25">
      <c r="F141" s="29"/>
      <c r="G141" s="28"/>
    </row>
    <row r="142" spans="5:8" x14ac:dyDescent="0.25">
      <c r="E142" s="32" t="s">
        <v>484</v>
      </c>
      <c r="G142" s="28"/>
    </row>
    <row r="143" spans="5:8" x14ac:dyDescent="0.25">
      <c r="F143" s="78" t="s">
        <v>465</v>
      </c>
      <c r="G143" s="64" t="s">
        <v>167</v>
      </c>
      <c r="H143" s="107">
        <f>'Inputs by network level'!P40</f>
        <v>0.741068762730685</v>
      </c>
    </row>
    <row r="144" spans="5:8" x14ac:dyDescent="0.25">
      <c r="F144" s="72" t="s">
        <v>466</v>
      </c>
      <c r="G144" s="28" t="s">
        <v>167</v>
      </c>
      <c r="H144" s="25">
        <f>'Inputs by network level'!P41</f>
        <v>0.23815127009110379</v>
      </c>
    </row>
    <row r="145" spans="5:8" x14ac:dyDescent="0.25">
      <c r="F145" s="80" t="s">
        <v>257</v>
      </c>
      <c r="G145" s="67" t="s">
        <v>167</v>
      </c>
      <c r="H145" s="141">
        <f>'Inputs by network level'!P42</f>
        <v>2.0779967178211251E-2</v>
      </c>
    </row>
    <row r="146" spans="5:8" x14ac:dyDescent="0.25">
      <c r="F146" s="78" t="s">
        <v>296</v>
      </c>
      <c r="G146" s="64" t="s">
        <v>167</v>
      </c>
      <c r="H146" s="107">
        <f>'Inputs by network level'!P43</f>
        <v>0.71176029509313998</v>
      </c>
    </row>
    <row r="147" spans="5:8" x14ac:dyDescent="0.25">
      <c r="F147" s="72" t="s">
        <v>305</v>
      </c>
      <c r="G147" s="28" t="s">
        <v>167</v>
      </c>
      <c r="H147" s="156">
        <f>SUM(H143:H144) - H146</f>
        <v>0.26745973772864884</v>
      </c>
    </row>
    <row r="148" spans="5:8" x14ac:dyDescent="0.25">
      <c r="F148" s="80" t="s">
        <v>257</v>
      </c>
      <c r="G148" s="67" t="s">
        <v>167</v>
      </c>
      <c r="H148" s="157">
        <f>H145</f>
        <v>2.0779967178211251E-2</v>
      </c>
    </row>
    <row r="149" spans="5:8" x14ac:dyDescent="0.25">
      <c r="F149" s="29"/>
      <c r="G149" s="28"/>
    </row>
    <row r="150" spans="5:8" x14ac:dyDescent="0.25">
      <c r="E150" s="32" t="s">
        <v>485</v>
      </c>
      <c r="G150" s="28"/>
    </row>
    <row r="151" spans="5:8" x14ac:dyDescent="0.25">
      <c r="F151" s="78" t="s">
        <v>465</v>
      </c>
      <c r="G151" s="64" t="s">
        <v>167</v>
      </c>
      <c r="H151" s="107">
        <f>'Inputs by network level'!Q40</f>
        <v>0.62268099928741061</v>
      </c>
    </row>
    <row r="152" spans="5:8" x14ac:dyDescent="0.25">
      <c r="F152" s="72" t="s">
        <v>466</v>
      </c>
      <c r="G152" s="28" t="s">
        <v>167</v>
      </c>
      <c r="H152" s="25">
        <f>'Inputs by network level'!Q41</f>
        <v>0.33360729355705693</v>
      </c>
    </row>
    <row r="153" spans="5:8" x14ac:dyDescent="0.25">
      <c r="F153" s="80" t="s">
        <v>257</v>
      </c>
      <c r="G153" s="67" t="s">
        <v>167</v>
      </c>
      <c r="H153" s="141">
        <f>'Inputs by network level'!Q42</f>
        <v>4.3711707155532332E-2</v>
      </c>
    </row>
    <row r="154" spans="5:8" x14ac:dyDescent="0.25">
      <c r="F154" s="78" t="s">
        <v>296</v>
      </c>
      <c r="G154" s="64" t="s">
        <v>167</v>
      </c>
      <c r="H154" s="107">
        <f>'Inputs by network level'!Q43</f>
        <v>0.60271442265322939</v>
      </c>
    </row>
    <row r="155" spans="5:8" x14ac:dyDescent="0.25">
      <c r="F155" s="72" t="s">
        <v>305</v>
      </c>
      <c r="G155" s="28" t="s">
        <v>167</v>
      </c>
      <c r="H155" s="156">
        <f>SUM(H151:H152) - H154</f>
        <v>0.3535738701912382</v>
      </c>
    </row>
    <row r="156" spans="5:8" x14ac:dyDescent="0.25">
      <c r="F156" s="80" t="s">
        <v>257</v>
      </c>
      <c r="G156" s="67" t="s">
        <v>167</v>
      </c>
      <c r="H156" s="157">
        <f>H153</f>
        <v>4.3711707155532332E-2</v>
      </c>
    </row>
    <row r="157" spans="5:8" x14ac:dyDescent="0.25">
      <c r="F157" s="29"/>
      <c r="G157" s="28"/>
    </row>
    <row r="158" spans="5:8" x14ac:dyDescent="0.25">
      <c r="E158" s="32" t="s">
        <v>486</v>
      </c>
      <c r="G158" s="28"/>
    </row>
    <row r="159" spans="5:8" x14ac:dyDescent="0.25">
      <c r="F159" s="78" t="s">
        <v>465</v>
      </c>
      <c r="G159" s="64" t="s">
        <v>167</v>
      </c>
      <c r="H159" s="107">
        <f>'Inputs by network level'!R40</f>
        <v>0.62268099928741061</v>
      </c>
    </row>
    <row r="160" spans="5:8" x14ac:dyDescent="0.25">
      <c r="F160" s="72" t="s">
        <v>466</v>
      </c>
      <c r="G160" s="28" t="s">
        <v>167</v>
      </c>
      <c r="H160" s="25">
        <f>'Inputs by network level'!R41</f>
        <v>0.33360729355705693</v>
      </c>
    </row>
    <row r="161" spans="3:27" x14ac:dyDescent="0.25">
      <c r="F161" s="80" t="s">
        <v>257</v>
      </c>
      <c r="G161" s="67" t="s">
        <v>167</v>
      </c>
      <c r="H161" s="141">
        <f>'Inputs by network level'!R42</f>
        <v>4.3711707155532332E-2</v>
      </c>
    </row>
    <row r="162" spans="3:27" x14ac:dyDescent="0.25">
      <c r="F162" s="78" t="s">
        <v>296</v>
      </c>
      <c r="G162" s="64" t="s">
        <v>167</v>
      </c>
      <c r="H162" s="107">
        <f>'Inputs by network level'!R43</f>
        <v>0.60271442265322939</v>
      </c>
    </row>
    <row r="163" spans="3:27" x14ac:dyDescent="0.25">
      <c r="F163" s="72" t="s">
        <v>305</v>
      </c>
      <c r="G163" s="28" t="s">
        <v>167</v>
      </c>
      <c r="H163" s="156">
        <f>SUM(H159:H160) - H162</f>
        <v>0.3535738701912382</v>
      </c>
    </row>
    <row r="164" spans="3:27" x14ac:dyDescent="0.25">
      <c r="F164" s="80" t="s">
        <v>257</v>
      </c>
      <c r="G164" s="67" t="s">
        <v>167</v>
      </c>
      <c r="H164" s="157">
        <f>H161</f>
        <v>4.3711707155532332E-2</v>
      </c>
    </row>
    <row r="165" spans="3:27" x14ac:dyDescent="0.25">
      <c r="F165" s="29"/>
      <c r="G165" s="28"/>
    </row>
    <row r="166" spans="3:27" x14ac:dyDescent="0.25">
      <c r="E166" s="32" t="s">
        <v>487</v>
      </c>
      <c r="G166" s="28"/>
    </row>
    <row r="167" spans="3:27" x14ac:dyDescent="0.25">
      <c r="F167" s="78" t="s">
        <v>465</v>
      </c>
      <c r="G167" s="64" t="s">
        <v>167</v>
      </c>
      <c r="H167" s="107">
        <f>'Inputs by network level'!S40</f>
        <v>0.62268099928741061</v>
      </c>
    </row>
    <row r="168" spans="3:27" x14ac:dyDescent="0.25">
      <c r="F168" s="72" t="s">
        <v>466</v>
      </c>
      <c r="G168" s="28" t="s">
        <v>167</v>
      </c>
      <c r="H168" s="25">
        <f>'Inputs by network level'!S41</f>
        <v>0.33360729355705693</v>
      </c>
    </row>
    <row r="169" spans="3:27" x14ac:dyDescent="0.25">
      <c r="F169" s="80" t="s">
        <v>257</v>
      </c>
      <c r="G169" s="67" t="s">
        <v>167</v>
      </c>
      <c r="H169" s="141">
        <f>'Inputs by network level'!S42</f>
        <v>4.3711707155532332E-2</v>
      </c>
    </row>
    <row r="170" spans="3:27" x14ac:dyDescent="0.25">
      <c r="F170" s="78" t="s">
        <v>296</v>
      </c>
      <c r="G170" s="64" t="s">
        <v>167</v>
      </c>
      <c r="H170" s="107">
        <f>'Inputs by network level'!S43</f>
        <v>0.60271442265322939</v>
      </c>
    </row>
    <row r="171" spans="3:27" x14ac:dyDescent="0.25">
      <c r="F171" s="72" t="s">
        <v>305</v>
      </c>
      <c r="G171" s="28" t="s">
        <v>167</v>
      </c>
      <c r="H171" s="156">
        <f>SUM(H167:H168) - H170</f>
        <v>0.3535738701912382</v>
      </c>
    </row>
    <row r="172" spans="3:27" x14ac:dyDescent="0.25">
      <c r="F172" s="80" t="s">
        <v>257</v>
      </c>
      <c r="G172" s="67" t="s">
        <v>167</v>
      </c>
      <c r="H172" s="157">
        <f>H169</f>
        <v>4.3711707155532332E-2</v>
      </c>
    </row>
    <row r="173" spans="3:27" x14ac:dyDescent="0.25">
      <c r="E173" s="29"/>
      <c r="F173" s="28"/>
      <c r="G173" s="28"/>
    </row>
    <row r="174" spans="3:27" x14ac:dyDescent="0.25">
      <c r="C174" s="31" t="str">
        <f ca="1">INDEX('Version control'!$H$34:$H$57,MATCH($A$1,'Version control'!$F$34:$F$57,0),1)&amp;"-I: Peaking probabilities, by network level and customer type"</f>
        <v>Section 105-I: Peaking probabilities, by network level and customer type</v>
      </c>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row>
    <row r="176" spans="3:27" x14ac:dyDescent="0.25">
      <c r="E176" s="32" t="s">
        <v>479</v>
      </c>
      <c r="G176" s="28"/>
    </row>
    <row r="177" spans="5:25" x14ac:dyDescent="0.25">
      <c r="E177" s="29"/>
      <c r="F177" s="78" t="s">
        <v>465</v>
      </c>
      <c r="G177" s="64" t="s">
        <v>167</v>
      </c>
      <c r="H177" s="107"/>
      <c r="I177" s="23"/>
      <c r="J177" s="154">
        <f t="shared" ref="J177:K177" si="14">IF(J$20, $H106, $H103)</f>
        <v>0.86380182993886667</v>
      </c>
      <c r="K177" s="154">
        <f t="shared" si="14"/>
        <v>0.86380182993886667</v>
      </c>
      <c r="L177" s="154">
        <f t="shared" ref="L177:M177" si="15">IF(L$20, $H106, $H103)</f>
        <v>0.86380182993886667</v>
      </c>
      <c r="M177" s="154">
        <f t="shared" si="15"/>
        <v>0.86380182993886667</v>
      </c>
      <c r="N177" s="154">
        <f t="shared" ref="N177:P177" si="16">IF(N$20, $H106, $H103)</f>
        <v>0.86380182993886667</v>
      </c>
      <c r="O177" s="154">
        <f t="shared" si="16"/>
        <v>0.86380182993886667</v>
      </c>
      <c r="P177" s="154">
        <f t="shared" si="16"/>
        <v>0.86380182993886667</v>
      </c>
      <c r="Q177" s="154">
        <f t="shared" ref="Q177:S177" si="17">IF(Q$20, $H106, $H103)</f>
        <v>0.73017949738504206</v>
      </c>
      <c r="R177" s="154">
        <f t="shared" si="17"/>
        <v>0.86380182993886667</v>
      </c>
      <c r="S177" s="154">
        <f t="shared" si="17"/>
        <v>0.86380182993886667</v>
      </c>
      <c r="T177" s="154">
        <f t="shared" ref="T177:U177" si="18">IF(T$20, $H106, $H103)</f>
        <v>0.86380182993886667</v>
      </c>
      <c r="U177" s="154">
        <f t="shared" si="18"/>
        <v>0.86380182993886667</v>
      </c>
      <c r="V177" s="154">
        <f t="shared" ref="V177:W177" si="19">IF(V$20, $H106, $H103)</f>
        <v>0.86380182993886667</v>
      </c>
      <c r="W177" s="154">
        <f t="shared" si="19"/>
        <v>0.86380182993886667</v>
      </c>
      <c r="X177" s="154">
        <f t="shared" ref="X177:Y177" si="20">IF(X$20, $H106, $H103)</f>
        <v>0.86380182993886667</v>
      </c>
      <c r="Y177" s="154">
        <f t="shared" si="20"/>
        <v>0.86380182993886667</v>
      </c>
    </row>
    <row r="178" spans="5:25" x14ac:dyDescent="0.25">
      <c r="E178" s="29"/>
      <c r="F178" s="72" t="s">
        <v>466</v>
      </c>
      <c r="G178" s="28" t="s">
        <v>167</v>
      </c>
      <c r="H178" s="25"/>
      <c r="J178" s="145">
        <f t="shared" ref="J178:K178" si="21">IF(J$20, $H107, $H104)</f>
        <v>0.13619817006113336</v>
      </c>
      <c r="K178" s="145">
        <f t="shared" si="21"/>
        <v>0.13619817006113336</v>
      </c>
      <c r="L178" s="145">
        <f t="shared" ref="L178:M178" si="22">IF(L$20, $H107, $H104)</f>
        <v>0.13619817006113336</v>
      </c>
      <c r="M178" s="145">
        <f t="shared" si="22"/>
        <v>0.13619817006113336</v>
      </c>
      <c r="N178" s="145">
        <f t="shared" ref="N178:P178" si="23">IF(N$20, $H107, $H104)</f>
        <v>0.13619817006113336</v>
      </c>
      <c r="O178" s="145">
        <f t="shared" si="23"/>
        <v>0.13619817006113336</v>
      </c>
      <c r="P178" s="145">
        <f t="shared" si="23"/>
        <v>0.13619817006113336</v>
      </c>
      <c r="Q178" s="145">
        <f t="shared" ref="Q178:S178" si="24">IF(Q$20, $H107, $H104)</f>
        <v>0.26982050261495794</v>
      </c>
      <c r="R178" s="145">
        <f t="shared" si="24"/>
        <v>0.13619817006113336</v>
      </c>
      <c r="S178" s="145">
        <f t="shared" si="24"/>
        <v>0.13619817006113336</v>
      </c>
      <c r="T178" s="145">
        <f t="shared" ref="T178:U178" si="25">IF(T$20, $H107, $H104)</f>
        <v>0.13619817006113336</v>
      </c>
      <c r="U178" s="145">
        <f t="shared" si="25"/>
        <v>0.13619817006113336</v>
      </c>
      <c r="V178" s="145">
        <f t="shared" ref="V178:W178" si="26">IF(V$20, $H107, $H104)</f>
        <v>0.13619817006113336</v>
      </c>
      <c r="W178" s="145">
        <f t="shared" si="26"/>
        <v>0.13619817006113336</v>
      </c>
      <c r="X178" s="145">
        <f t="shared" ref="X178:Y178" si="27">IF(X$20, $H107, $H104)</f>
        <v>0.13619817006113336</v>
      </c>
      <c r="Y178" s="145">
        <f t="shared" si="27"/>
        <v>0.13619817006113336</v>
      </c>
    </row>
    <row r="179" spans="5:25" x14ac:dyDescent="0.25">
      <c r="E179" s="29"/>
      <c r="F179" s="80" t="s">
        <v>257</v>
      </c>
      <c r="G179" s="67" t="s">
        <v>167</v>
      </c>
      <c r="H179" s="141"/>
      <c r="I179" s="37"/>
      <c r="J179" s="155">
        <f t="shared" ref="J179:K179" si="28">IF(J$20, $H108, $H105)</f>
        <v>0</v>
      </c>
      <c r="K179" s="155">
        <f t="shared" si="28"/>
        <v>0</v>
      </c>
      <c r="L179" s="155">
        <f t="shared" ref="L179:M179" si="29">IF(L$20, $H108, $H105)</f>
        <v>0</v>
      </c>
      <c r="M179" s="155">
        <f t="shared" si="29"/>
        <v>0</v>
      </c>
      <c r="N179" s="155">
        <f t="shared" ref="N179:P179" si="30">IF(N$20, $H108, $H105)</f>
        <v>0</v>
      </c>
      <c r="O179" s="155">
        <f t="shared" si="30"/>
        <v>0</v>
      </c>
      <c r="P179" s="155">
        <f t="shared" si="30"/>
        <v>0</v>
      </c>
      <c r="Q179" s="155">
        <f t="shared" ref="Q179:S179" si="31">IF(Q$20, $H108, $H105)</f>
        <v>0</v>
      </c>
      <c r="R179" s="155">
        <f t="shared" si="31"/>
        <v>0</v>
      </c>
      <c r="S179" s="155">
        <f t="shared" si="31"/>
        <v>0</v>
      </c>
      <c r="T179" s="155">
        <f t="shared" ref="T179:U179" si="32">IF(T$20, $H108, $H105)</f>
        <v>0</v>
      </c>
      <c r="U179" s="155">
        <f t="shared" si="32"/>
        <v>0</v>
      </c>
      <c r="V179" s="155">
        <f t="shared" ref="V179:W179" si="33">IF(V$20, $H108, $H105)</f>
        <v>0</v>
      </c>
      <c r="W179" s="155">
        <f t="shared" si="33"/>
        <v>0</v>
      </c>
      <c r="X179" s="155">
        <f t="shared" ref="X179:Y179" si="34">IF(X$20, $H108, $H105)</f>
        <v>0</v>
      </c>
      <c r="Y179" s="155">
        <f t="shared" si="34"/>
        <v>0</v>
      </c>
    </row>
    <row r="180" spans="5:25" x14ac:dyDescent="0.25">
      <c r="E180" s="29"/>
      <c r="F180" s="72"/>
      <c r="G180" s="28"/>
      <c r="H180" s="25"/>
      <c r="J180" s="145"/>
      <c r="K180" s="145"/>
      <c r="L180" s="145"/>
      <c r="M180" s="145"/>
      <c r="N180" s="145"/>
      <c r="O180" s="145"/>
      <c r="P180" s="145"/>
      <c r="Q180" s="145"/>
      <c r="R180" s="145"/>
      <c r="S180" s="145"/>
      <c r="T180" s="145"/>
      <c r="U180" s="145"/>
      <c r="V180" s="145"/>
      <c r="W180" s="145"/>
      <c r="X180" s="145"/>
      <c r="Y180" s="145"/>
    </row>
    <row r="181" spans="5:25" x14ac:dyDescent="0.25">
      <c r="E181" s="32" t="s">
        <v>480</v>
      </c>
      <c r="G181" s="28"/>
    </row>
    <row r="182" spans="5:25" x14ac:dyDescent="0.25">
      <c r="E182" s="29"/>
      <c r="F182" s="78" t="s">
        <v>465</v>
      </c>
      <c r="G182" s="64" t="s">
        <v>167</v>
      </c>
      <c r="H182" s="107"/>
      <c r="I182" s="23"/>
      <c r="J182" s="154">
        <f t="shared" ref="J182:K182" si="35">IF(J$20, $H114, $H111)</f>
        <v>0.741068762730685</v>
      </c>
      <c r="K182" s="154">
        <f t="shared" si="35"/>
        <v>0.741068762730685</v>
      </c>
      <c r="L182" s="154">
        <f t="shared" ref="L182:M182" si="36">IF(L$20, $H114, $H111)</f>
        <v>0.741068762730685</v>
      </c>
      <c r="M182" s="154">
        <f t="shared" si="36"/>
        <v>0.741068762730685</v>
      </c>
      <c r="N182" s="154">
        <f t="shared" ref="N182:P182" si="37">IF(N$20, $H114, $H111)</f>
        <v>0.741068762730685</v>
      </c>
      <c r="O182" s="154">
        <f t="shared" si="37"/>
        <v>0.741068762730685</v>
      </c>
      <c r="P182" s="154">
        <f t="shared" si="37"/>
        <v>0.741068762730685</v>
      </c>
      <c r="Q182" s="154">
        <f t="shared" ref="Q182:S182" si="38">IF(Q$20, $H114, $H111)</f>
        <v>0.71176029509313998</v>
      </c>
      <c r="R182" s="154">
        <f t="shared" si="38"/>
        <v>0.741068762730685</v>
      </c>
      <c r="S182" s="154">
        <f t="shared" si="38"/>
        <v>0.741068762730685</v>
      </c>
      <c r="T182" s="154">
        <f t="shared" ref="T182:U182" si="39">IF(T$20, $H114, $H111)</f>
        <v>0.741068762730685</v>
      </c>
      <c r="U182" s="154">
        <f t="shared" si="39"/>
        <v>0.741068762730685</v>
      </c>
      <c r="V182" s="154">
        <f t="shared" ref="V182:W182" si="40">IF(V$20, $H114, $H111)</f>
        <v>0.741068762730685</v>
      </c>
      <c r="W182" s="154">
        <f t="shared" si="40"/>
        <v>0.741068762730685</v>
      </c>
      <c r="X182" s="154">
        <f t="shared" ref="X182:Y182" si="41">IF(X$20, $H114, $H111)</f>
        <v>0.741068762730685</v>
      </c>
      <c r="Y182" s="154">
        <f t="shared" si="41"/>
        <v>0.741068762730685</v>
      </c>
    </row>
    <row r="183" spans="5:25" x14ac:dyDescent="0.25">
      <c r="E183" s="29"/>
      <c r="F183" s="72" t="s">
        <v>466</v>
      </c>
      <c r="G183" s="28" t="s">
        <v>167</v>
      </c>
      <c r="H183" s="25"/>
      <c r="J183" s="145">
        <f t="shared" ref="J183:K183" si="42">IF(J$20, $H115, $H112)</f>
        <v>0.23815127009110379</v>
      </c>
      <c r="K183" s="145">
        <f t="shared" si="42"/>
        <v>0.23815127009110379</v>
      </c>
      <c r="L183" s="145">
        <f t="shared" ref="L183:M183" si="43">IF(L$20, $H115, $H112)</f>
        <v>0.23815127009110379</v>
      </c>
      <c r="M183" s="145">
        <f t="shared" si="43"/>
        <v>0.23815127009110379</v>
      </c>
      <c r="N183" s="145">
        <f t="shared" ref="N183:P183" si="44">IF(N$20, $H115, $H112)</f>
        <v>0.23815127009110379</v>
      </c>
      <c r="O183" s="145">
        <f t="shared" si="44"/>
        <v>0.23815127009110379</v>
      </c>
      <c r="P183" s="145">
        <f t="shared" si="44"/>
        <v>0.23815127009110379</v>
      </c>
      <c r="Q183" s="145">
        <f t="shared" ref="Q183:S183" si="45">IF(Q$20, $H115, $H112)</f>
        <v>0.26745973772864884</v>
      </c>
      <c r="R183" s="145">
        <f t="shared" si="45"/>
        <v>0.23815127009110379</v>
      </c>
      <c r="S183" s="145">
        <f t="shared" si="45"/>
        <v>0.23815127009110379</v>
      </c>
      <c r="T183" s="145">
        <f t="shared" ref="T183:U183" si="46">IF(T$20, $H115, $H112)</f>
        <v>0.23815127009110379</v>
      </c>
      <c r="U183" s="145">
        <f t="shared" si="46"/>
        <v>0.23815127009110379</v>
      </c>
      <c r="V183" s="145">
        <f t="shared" ref="V183:W183" si="47">IF(V$20, $H115, $H112)</f>
        <v>0.23815127009110379</v>
      </c>
      <c r="W183" s="145">
        <f t="shared" si="47"/>
        <v>0.23815127009110379</v>
      </c>
      <c r="X183" s="145">
        <f t="shared" ref="X183:Y183" si="48">IF(X$20, $H115, $H112)</f>
        <v>0.23815127009110379</v>
      </c>
      <c r="Y183" s="145">
        <f t="shared" si="48"/>
        <v>0.23815127009110379</v>
      </c>
    </row>
    <row r="184" spans="5:25" x14ac:dyDescent="0.25">
      <c r="E184" s="29"/>
      <c r="F184" s="80" t="s">
        <v>257</v>
      </c>
      <c r="G184" s="67" t="s">
        <v>167</v>
      </c>
      <c r="H184" s="141"/>
      <c r="I184" s="37"/>
      <c r="J184" s="155">
        <f t="shared" ref="J184:K184" si="49">IF(J$20, $H116, $H113)</f>
        <v>2.0779967178211251E-2</v>
      </c>
      <c r="K184" s="155">
        <f t="shared" si="49"/>
        <v>2.0779967178211251E-2</v>
      </c>
      <c r="L184" s="155">
        <f t="shared" ref="L184:M184" si="50">IF(L$20, $H116, $H113)</f>
        <v>2.0779967178211251E-2</v>
      </c>
      <c r="M184" s="155">
        <f t="shared" si="50"/>
        <v>2.0779967178211251E-2</v>
      </c>
      <c r="N184" s="155">
        <f t="shared" ref="N184:P184" si="51">IF(N$20, $H116, $H113)</f>
        <v>2.0779967178211251E-2</v>
      </c>
      <c r="O184" s="155">
        <f t="shared" si="51"/>
        <v>2.0779967178211251E-2</v>
      </c>
      <c r="P184" s="155">
        <f t="shared" si="51"/>
        <v>2.0779967178211251E-2</v>
      </c>
      <c r="Q184" s="155">
        <f t="shared" ref="Q184:S184" si="52">IF(Q$20, $H116, $H113)</f>
        <v>2.0779967178211251E-2</v>
      </c>
      <c r="R184" s="155">
        <f t="shared" si="52"/>
        <v>2.0779967178211251E-2</v>
      </c>
      <c r="S184" s="155">
        <f t="shared" si="52"/>
        <v>2.0779967178211251E-2</v>
      </c>
      <c r="T184" s="155">
        <f t="shared" ref="T184:U184" si="53">IF(T$20, $H116, $H113)</f>
        <v>2.0779967178211251E-2</v>
      </c>
      <c r="U184" s="155">
        <f t="shared" si="53"/>
        <v>2.0779967178211251E-2</v>
      </c>
      <c r="V184" s="155">
        <f t="shared" ref="V184:W184" si="54">IF(V$20, $H116, $H113)</f>
        <v>2.0779967178211251E-2</v>
      </c>
      <c r="W184" s="155">
        <f t="shared" si="54"/>
        <v>2.0779967178211251E-2</v>
      </c>
      <c r="X184" s="155">
        <f t="shared" ref="X184:Y184" si="55">IF(X$20, $H116, $H113)</f>
        <v>2.0779967178211251E-2</v>
      </c>
      <c r="Y184" s="155">
        <f t="shared" si="55"/>
        <v>2.0779967178211251E-2</v>
      </c>
    </row>
    <row r="185" spans="5:25" x14ac:dyDescent="0.25">
      <c r="E185" s="29"/>
      <c r="F185" s="72"/>
      <c r="G185" s="28"/>
      <c r="H185" s="25"/>
      <c r="J185" s="145"/>
      <c r="K185" s="145"/>
      <c r="L185" s="145"/>
      <c r="M185" s="145"/>
      <c r="N185" s="145"/>
      <c r="O185" s="145"/>
      <c r="P185" s="145"/>
      <c r="Q185" s="145"/>
      <c r="R185" s="145"/>
      <c r="S185" s="145"/>
      <c r="T185" s="145"/>
      <c r="U185" s="145"/>
      <c r="V185" s="145"/>
      <c r="W185" s="145"/>
      <c r="X185" s="145"/>
      <c r="Y185" s="145"/>
    </row>
    <row r="186" spans="5:25" x14ac:dyDescent="0.25">
      <c r="E186" s="32" t="s">
        <v>481</v>
      </c>
      <c r="G186" s="28"/>
    </row>
    <row r="187" spans="5:25" x14ac:dyDescent="0.25">
      <c r="E187" s="29"/>
      <c r="F187" s="78" t="s">
        <v>465</v>
      </c>
      <c r="G187" s="64" t="s">
        <v>167</v>
      </c>
      <c r="H187" s="107"/>
      <c r="I187" s="23"/>
      <c r="J187" s="154">
        <f t="shared" ref="J187:K187" si="56">IF(J$20, $H122, $H119)</f>
        <v>0.741068762730685</v>
      </c>
      <c r="K187" s="154">
        <f t="shared" si="56"/>
        <v>0.741068762730685</v>
      </c>
      <c r="L187" s="154">
        <f t="shared" ref="L187:M187" si="57">IF(L$20, $H122, $H119)</f>
        <v>0.741068762730685</v>
      </c>
      <c r="M187" s="154">
        <f t="shared" si="57"/>
        <v>0.741068762730685</v>
      </c>
      <c r="N187" s="154">
        <f t="shared" ref="N187:P187" si="58">IF(N$20, $H122, $H119)</f>
        <v>0.741068762730685</v>
      </c>
      <c r="O187" s="154">
        <f t="shared" si="58"/>
        <v>0.741068762730685</v>
      </c>
      <c r="P187" s="154">
        <f t="shared" si="58"/>
        <v>0.741068762730685</v>
      </c>
      <c r="Q187" s="154">
        <f t="shared" ref="Q187:S187" si="59">IF(Q$20, $H122, $H119)</f>
        <v>0.71176029509313998</v>
      </c>
      <c r="R187" s="154">
        <f t="shared" si="59"/>
        <v>0.741068762730685</v>
      </c>
      <c r="S187" s="154">
        <f t="shared" si="59"/>
        <v>0.741068762730685</v>
      </c>
      <c r="T187" s="154">
        <f t="shared" ref="T187:U187" si="60">IF(T$20, $H122, $H119)</f>
        <v>0.741068762730685</v>
      </c>
      <c r="U187" s="154">
        <f t="shared" si="60"/>
        <v>0.741068762730685</v>
      </c>
      <c r="V187" s="154">
        <f t="shared" ref="V187:W187" si="61">IF(V$20, $H122, $H119)</f>
        <v>0.741068762730685</v>
      </c>
      <c r="W187" s="154">
        <f t="shared" si="61"/>
        <v>0.741068762730685</v>
      </c>
      <c r="X187" s="154">
        <f t="shared" ref="X187:Y187" si="62">IF(X$20, $H122, $H119)</f>
        <v>0.741068762730685</v>
      </c>
      <c r="Y187" s="154">
        <f t="shared" si="62"/>
        <v>0.741068762730685</v>
      </c>
    </row>
    <row r="188" spans="5:25" x14ac:dyDescent="0.25">
      <c r="E188" s="29"/>
      <c r="F188" s="72" t="s">
        <v>466</v>
      </c>
      <c r="G188" s="28" t="s">
        <v>167</v>
      </c>
      <c r="H188" s="25"/>
      <c r="J188" s="145">
        <f t="shared" ref="J188:K188" si="63">IF(J$20, $H123, $H120)</f>
        <v>0.23815127009110379</v>
      </c>
      <c r="K188" s="145">
        <f t="shared" si="63"/>
        <v>0.23815127009110379</v>
      </c>
      <c r="L188" s="145">
        <f t="shared" ref="L188:M188" si="64">IF(L$20, $H123, $H120)</f>
        <v>0.23815127009110379</v>
      </c>
      <c r="M188" s="145">
        <f t="shared" si="64"/>
        <v>0.23815127009110379</v>
      </c>
      <c r="N188" s="145">
        <f t="shared" ref="N188:P188" si="65">IF(N$20, $H123, $H120)</f>
        <v>0.23815127009110379</v>
      </c>
      <c r="O188" s="145">
        <f t="shared" si="65"/>
        <v>0.23815127009110379</v>
      </c>
      <c r="P188" s="145">
        <f t="shared" si="65"/>
        <v>0.23815127009110379</v>
      </c>
      <c r="Q188" s="145">
        <f t="shared" ref="Q188:S188" si="66">IF(Q$20, $H123, $H120)</f>
        <v>0.26745973772864884</v>
      </c>
      <c r="R188" s="145">
        <f t="shared" si="66"/>
        <v>0.23815127009110379</v>
      </c>
      <c r="S188" s="145">
        <f t="shared" si="66"/>
        <v>0.23815127009110379</v>
      </c>
      <c r="T188" s="145">
        <f t="shared" ref="T188:U188" si="67">IF(T$20, $H123, $H120)</f>
        <v>0.23815127009110379</v>
      </c>
      <c r="U188" s="145">
        <f t="shared" si="67"/>
        <v>0.23815127009110379</v>
      </c>
      <c r="V188" s="145">
        <f t="shared" ref="V188:W188" si="68">IF(V$20, $H123, $H120)</f>
        <v>0.23815127009110379</v>
      </c>
      <c r="W188" s="145">
        <f t="shared" si="68"/>
        <v>0.23815127009110379</v>
      </c>
      <c r="X188" s="145">
        <f t="shared" ref="X188:Y188" si="69">IF(X$20, $H123, $H120)</f>
        <v>0.23815127009110379</v>
      </c>
      <c r="Y188" s="145">
        <f t="shared" si="69"/>
        <v>0.23815127009110379</v>
      </c>
    </row>
    <row r="189" spans="5:25" x14ac:dyDescent="0.25">
      <c r="E189" s="29"/>
      <c r="F189" s="80" t="s">
        <v>257</v>
      </c>
      <c r="G189" s="67" t="s">
        <v>167</v>
      </c>
      <c r="H189" s="141"/>
      <c r="I189" s="37"/>
      <c r="J189" s="155">
        <f t="shared" ref="J189:K189" si="70">IF(J$20, $H124, $H121)</f>
        <v>2.0779967178211251E-2</v>
      </c>
      <c r="K189" s="155">
        <f t="shared" si="70"/>
        <v>2.0779967178211251E-2</v>
      </c>
      <c r="L189" s="155">
        <f t="shared" ref="L189:M189" si="71">IF(L$20, $H124, $H121)</f>
        <v>2.0779967178211251E-2</v>
      </c>
      <c r="M189" s="155">
        <f t="shared" si="71"/>
        <v>2.0779967178211251E-2</v>
      </c>
      <c r="N189" s="155">
        <f t="shared" ref="N189:P189" si="72">IF(N$20, $H124, $H121)</f>
        <v>2.0779967178211251E-2</v>
      </c>
      <c r="O189" s="155">
        <f t="shared" si="72"/>
        <v>2.0779967178211251E-2</v>
      </c>
      <c r="P189" s="155">
        <f t="shared" si="72"/>
        <v>2.0779967178211251E-2</v>
      </c>
      <c r="Q189" s="155">
        <f t="shared" ref="Q189:S189" si="73">IF(Q$20, $H124, $H121)</f>
        <v>2.0779967178211251E-2</v>
      </c>
      <c r="R189" s="155">
        <f t="shared" si="73"/>
        <v>2.0779967178211251E-2</v>
      </c>
      <c r="S189" s="155">
        <f t="shared" si="73"/>
        <v>2.0779967178211251E-2</v>
      </c>
      <c r="T189" s="155">
        <f t="shared" ref="T189:U189" si="74">IF(T$20, $H124, $H121)</f>
        <v>2.0779967178211251E-2</v>
      </c>
      <c r="U189" s="155">
        <f t="shared" si="74"/>
        <v>2.0779967178211251E-2</v>
      </c>
      <c r="V189" s="155">
        <f t="shared" ref="V189:W189" si="75">IF(V$20, $H124, $H121)</f>
        <v>2.0779967178211251E-2</v>
      </c>
      <c r="W189" s="155">
        <f t="shared" si="75"/>
        <v>2.0779967178211251E-2</v>
      </c>
      <c r="X189" s="155">
        <f t="shared" ref="X189:Y189" si="76">IF(X$20, $H124, $H121)</f>
        <v>2.0779967178211251E-2</v>
      </c>
      <c r="Y189" s="155">
        <f t="shared" si="76"/>
        <v>2.0779967178211251E-2</v>
      </c>
    </row>
    <row r="190" spans="5:25" x14ac:dyDescent="0.25">
      <c r="E190" s="29"/>
      <c r="F190" s="72"/>
      <c r="G190" s="28"/>
      <c r="H190" s="25"/>
      <c r="J190" s="145"/>
      <c r="K190" s="145"/>
      <c r="L190" s="145"/>
      <c r="M190" s="145"/>
      <c r="N190" s="145"/>
      <c r="O190" s="145"/>
      <c r="P190" s="145"/>
      <c r="Q190" s="145"/>
      <c r="R190" s="145"/>
      <c r="S190" s="145"/>
      <c r="T190" s="145"/>
      <c r="U190" s="145"/>
      <c r="V190" s="145"/>
      <c r="W190" s="145"/>
      <c r="X190" s="145"/>
      <c r="Y190" s="145"/>
    </row>
    <row r="191" spans="5:25" x14ac:dyDescent="0.25">
      <c r="E191" s="32" t="s">
        <v>482</v>
      </c>
      <c r="G191" s="28"/>
    </row>
    <row r="192" spans="5:25" x14ac:dyDescent="0.25">
      <c r="E192" s="29"/>
      <c r="F192" s="78" t="s">
        <v>465</v>
      </c>
      <c r="G192" s="64" t="s">
        <v>167</v>
      </c>
      <c r="H192" s="107"/>
      <c r="I192" s="23"/>
      <c r="J192" s="154">
        <f t="shared" ref="J192:K192" si="77">IF(J$20, $H130, $H127)</f>
        <v>0.62268099928741061</v>
      </c>
      <c r="K192" s="154">
        <f t="shared" si="77"/>
        <v>0.62268099928741061</v>
      </c>
      <c r="L192" s="154">
        <f t="shared" ref="L192:M192" si="78">IF(L$20, $H130, $H127)</f>
        <v>0.62268099928741061</v>
      </c>
      <c r="M192" s="154">
        <f t="shared" si="78"/>
        <v>0.62268099928741061</v>
      </c>
      <c r="N192" s="154">
        <f t="shared" ref="N192:P192" si="79">IF(N$20, $H130, $H127)</f>
        <v>0.62268099928741061</v>
      </c>
      <c r="O192" s="154">
        <f t="shared" si="79"/>
        <v>0.62268099928741061</v>
      </c>
      <c r="P192" s="154">
        <f t="shared" si="79"/>
        <v>0.62268099928741061</v>
      </c>
      <c r="Q192" s="154">
        <f t="shared" ref="Q192:S192" si="80">IF(Q$20, $H130, $H127)</f>
        <v>0.60271442265322939</v>
      </c>
      <c r="R192" s="154">
        <f t="shared" si="80"/>
        <v>0.62268099928741061</v>
      </c>
      <c r="S192" s="154">
        <f t="shared" si="80"/>
        <v>0.62268099928741061</v>
      </c>
      <c r="T192" s="154">
        <f t="shared" ref="T192:U192" si="81">IF(T$20, $H130, $H127)</f>
        <v>0.62268099928741061</v>
      </c>
      <c r="U192" s="154">
        <f t="shared" si="81"/>
        <v>0.62268099928741061</v>
      </c>
      <c r="V192" s="154">
        <f t="shared" ref="V192:W192" si="82">IF(V$20, $H130, $H127)</f>
        <v>0.62268099928741061</v>
      </c>
      <c r="W192" s="154">
        <f t="shared" si="82"/>
        <v>0.62268099928741061</v>
      </c>
      <c r="X192" s="154">
        <f t="shared" ref="X192:Y192" si="83">IF(X$20, $H130, $H127)</f>
        <v>0.62268099928741061</v>
      </c>
      <c r="Y192" s="154">
        <f t="shared" si="83"/>
        <v>0.62268099928741061</v>
      </c>
    </row>
    <row r="193" spans="5:25" x14ac:dyDescent="0.25">
      <c r="E193" s="29"/>
      <c r="F193" s="72" t="s">
        <v>466</v>
      </c>
      <c r="G193" s="28" t="s">
        <v>167</v>
      </c>
      <c r="H193" s="25"/>
      <c r="J193" s="145">
        <f t="shared" ref="J193:K193" si="84">IF(J$20, $H131, $H128)</f>
        <v>0.33360729355705693</v>
      </c>
      <c r="K193" s="145">
        <f t="shared" si="84"/>
        <v>0.33360729355705693</v>
      </c>
      <c r="L193" s="145">
        <f t="shared" ref="L193:M193" si="85">IF(L$20, $H131, $H128)</f>
        <v>0.33360729355705693</v>
      </c>
      <c r="M193" s="145">
        <f t="shared" si="85"/>
        <v>0.33360729355705693</v>
      </c>
      <c r="N193" s="145">
        <f t="shared" ref="N193:P193" si="86">IF(N$20, $H131, $H128)</f>
        <v>0.33360729355705693</v>
      </c>
      <c r="O193" s="145">
        <f t="shared" si="86"/>
        <v>0.33360729355705693</v>
      </c>
      <c r="P193" s="145">
        <f t="shared" si="86"/>
        <v>0.33360729355705693</v>
      </c>
      <c r="Q193" s="145">
        <f t="shared" ref="Q193:S193" si="87">IF(Q$20, $H131, $H128)</f>
        <v>0.3535738701912382</v>
      </c>
      <c r="R193" s="145">
        <f t="shared" si="87"/>
        <v>0.33360729355705693</v>
      </c>
      <c r="S193" s="145">
        <f t="shared" si="87"/>
        <v>0.33360729355705693</v>
      </c>
      <c r="T193" s="145">
        <f t="shared" ref="T193:U193" si="88">IF(T$20, $H131, $H128)</f>
        <v>0.33360729355705693</v>
      </c>
      <c r="U193" s="145">
        <f t="shared" si="88"/>
        <v>0.33360729355705693</v>
      </c>
      <c r="V193" s="145">
        <f t="shared" ref="V193:W193" si="89">IF(V$20, $H131, $H128)</f>
        <v>0.33360729355705693</v>
      </c>
      <c r="W193" s="145">
        <f t="shared" si="89"/>
        <v>0.33360729355705693</v>
      </c>
      <c r="X193" s="145">
        <f t="shared" ref="X193:Y193" si="90">IF(X$20, $H131, $H128)</f>
        <v>0.33360729355705693</v>
      </c>
      <c r="Y193" s="145">
        <f t="shared" si="90"/>
        <v>0.33360729355705693</v>
      </c>
    </row>
    <row r="194" spans="5:25" x14ac:dyDescent="0.25">
      <c r="E194" s="29"/>
      <c r="F194" s="80" t="s">
        <v>257</v>
      </c>
      <c r="G194" s="67" t="s">
        <v>167</v>
      </c>
      <c r="H194" s="141"/>
      <c r="I194" s="37"/>
      <c r="J194" s="155">
        <f t="shared" ref="J194:K194" si="91">IF(J$20, $H132, $H129)</f>
        <v>4.3711707155532332E-2</v>
      </c>
      <c r="K194" s="155">
        <f t="shared" si="91"/>
        <v>4.3711707155532332E-2</v>
      </c>
      <c r="L194" s="155">
        <f t="shared" ref="L194:M194" si="92">IF(L$20, $H132, $H129)</f>
        <v>4.3711707155532332E-2</v>
      </c>
      <c r="M194" s="155">
        <f t="shared" si="92"/>
        <v>4.3711707155532332E-2</v>
      </c>
      <c r="N194" s="155">
        <f t="shared" ref="N194:P194" si="93">IF(N$20, $H132, $H129)</f>
        <v>4.3711707155532332E-2</v>
      </c>
      <c r="O194" s="155">
        <f t="shared" si="93"/>
        <v>4.3711707155532332E-2</v>
      </c>
      <c r="P194" s="155">
        <f t="shared" si="93"/>
        <v>4.3711707155532332E-2</v>
      </c>
      <c r="Q194" s="155">
        <f t="shared" ref="Q194:S194" si="94">IF(Q$20, $H132, $H129)</f>
        <v>4.3711707155532332E-2</v>
      </c>
      <c r="R194" s="155">
        <f t="shared" si="94"/>
        <v>4.3711707155532332E-2</v>
      </c>
      <c r="S194" s="155">
        <f t="shared" si="94"/>
        <v>4.3711707155532332E-2</v>
      </c>
      <c r="T194" s="155">
        <f t="shared" ref="T194:U194" si="95">IF(T$20, $H132, $H129)</f>
        <v>4.3711707155532332E-2</v>
      </c>
      <c r="U194" s="155">
        <f t="shared" si="95"/>
        <v>4.3711707155532332E-2</v>
      </c>
      <c r="V194" s="155">
        <f t="shared" ref="V194:W194" si="96">IF(V$20, $H132, $H129)</f>
        <v>4.3711707155532332E-2</v>
      </c>
      <c r="W194" s="155">
        <f t="shared" si="96"/>
        <v>4.3711707155532332E-2</v>
      </c>
      <c r="X194" s="155">
        <f t="shared" ref="X194:Y194" si="97">IF(X$20, $H132, $H129)</f>
        <v>4.3711707155532332E-2</v>
      </c>
      <c r="Y194" s="155">
        <f t="shared" si="97"/>
        <v>4.3711707155532332E-2</v>
      </c>
    </row>
    <row r="195" spans="5:25" x14ac:dyDescent="0.25">
      <c r="E195" s="29"/>
      <c r="F195" s="72"/>
      <c r="G195" s="28"/>
      <c r="H195" s="25"/>
      <c r="J195" s="145"/>
      <c r="K195" s="145"/>
      <c r="L195" s="145"/>
      <c r="M195" s="145"/>
      <c r="N195" s="145"/>
      <c r="O195" s="145"/>
      <c r="P195" s="145"/>
      <c r="Q195" s="145"/>
      <c r="R195" s="145"/>
      <c r="S195" s="145"/>
      <c r="T195" s="145"/>
      <c r="U195" s="145"/>
      <c r="V195" s="145"/>
      <c r="W195" s="145"/>
      <c r="X195" s="145"/>
      <c r="Y195" s="145"/>
    </row>
    <row r="196" spans="5:25" x14ac:dyDescent="0.25">
      <c r="E196" s="32" t="s">
        <v>483</v>
      </c>
      <c r="G196" s="28"/>
    </row>
    <row r="197" spans="5:25" x14ac:dyDescent="0.25">
      <c r="E197" s="29"/>
      <c r="F197" s="78" t="s">
        <v>465</v>
      </c>
      <c r="G197" s="64" t="s">
        <v>167</v>
      </c>
      <c r="H197" s="107"/>
      <c r="I197" s="23"/>
      <c r="J197" s="154">
        <f t="shared" ref="J197:K197" si="98">IF(J$20, $H138, $H135)</f>
        <v>0.62268099928741061</v>
      </c>
      <c r="K197" s="154">
        <f t="shared" si="98"/>
        <v>0.62268099928741061</v>
      </c>
      <c r="L197" s="154">
        <f t="shared" ref="L197:M197" si="99">IF(L$20, $H138, $H135)</f>
        <v>0.62268099928741061</v>
      </c>
      <c r="M197" s="154">
        <f t="shared" si="99"/>
        <v>0.62268099928741061</v>
      </c>
      <c r="N197" s="154">
        <f t="shared" ref="N197:P197" si="100">IF(N$20, $H138, $H135)</f>
        <v>0.62268099928741061</v>
      </c>
      <c r="O197" s="154">
        <f t="shared" si="100"/>
        <v>0.62268099928741061</v>
      </c>
      <c r="P197" s="154">
        <f t="shared" si="100"/>
        <v>0.62268099928741061</v>
      </c>
      <c r="Q197" s="154">
        <f t="shared" ref="Q197:S197" si="101">IF(Q$20, $H138, $H135)</f>
        <v>0.60271442265322939</v>
      </c>
      <c r="R197" s="154">
        <f t="shared" si="101"/>
        <v>0.62268099928741061</v>
      </c>
      <c r="S197" s="154">
        <f t="shared" si="101"/>
        <v>0.62268099928741061</v>
      </c>
      <c r="T197" s="154">
        <f t="shared" ref="T197:U197" si="102">IF(T$20, $H138, $H135)</f>
        <v>0.62268099928741061</v>
      </c>
      <c r="U197" s="154">
        <f t="shared" si="102"/>
        <v>0.62268099928741061</v>
      </c>
      <c r="V197" s="154">
        <f t="shared" ref="V197:W197" si="103">IF(V$20, $H138, $H135)</f>
        <v>0.62268099928741061</v>
      </c>
      <c r="W197" s="154">
        <f t="shared" si="103"/>
        <v>0.62268099928741061</v>
      </c>
      <c r="X197" s="154">
        <f t="shared" ref="X197:Y197" si="104">IF(X$20, $H138, $H135)</f>
        <v>0.62268099928741061</v>
      </c>
      <c r="Y197" s="154">
        <f t="shared" si="104"/>
        <v>0.62268099928741061</v>
      </c>
    </row>
    <row r="198" spans="5:25" x14ac:dyDescent="0.25">
      <c r="E198" s="29"/>
      <c r="F198" s="72" t="s">
        <v>466</v>
      </c>
      <c r="G198" s="28" t="s">
        <v>167</v>
      </c>
      <c r="H198" s="25"/>
      <c r="J198" s="145">
        <f t="shared" ref="J198:K198" si="105">IF(J$20, $H139, $H136)</f>
        <v>0.33360729355705693</v>
      </c>
      <c r="K198" s="145">
        <f t="shared" si="105"/>
        <v>0.33360729355705693</v>
      </c>
      <c r="L198" s="145">
        <f t="shared" ref="L198:M198" si="106">IF(L$20, $H139, $H136)</f>
        <v>0.33360729355705693</v>
      </c>
      <c r="M198" s="145">
        <f t="shared" si="106"/>
        <v>0.33360729355705693</v>
      </c>
      <c r="N198" s="145">
        <f t="shared" ref="N198:P198" si="107">IF(N$20, $H139, $H136)</f>
        <v>0.33360729355705693</v>
      </c>
      <c r="O198" s="145">
        <f t="shared" si="107"/>
        <v>0.33360729355705693</v>
      </c>
      <c r="P198" s="145">
        <f t="shared" si="107"/>
        <v>0.33360729355705693</v>
      </c>
      <c r="Q198" s="145">
        <f t="shared" ref="Q198:S198" si="108">IF(Q$20, $H139, $H136)</f>
        <v>0.3535738701912382</v>
      </c>
      <c r="R198" s="145">
        <f t="shared" si="108"/>
        <v>0.33360729355705693</v>
      </c>
      <c r="S198" s="145">
        <f t="shared" si="108"/>
        <v>0.33360729355705693</v>
      </c>
      <c r="T198" s="145">
        <f t="shared" ref="T198:U198" si="109">IF(T$20, $H139, $H136)</f>
        <v>0.33360729355705693</v>
      </c>
      <c r="U198" s="145">
        <f t="shared" si="109"/>
        <v>0.33360729355705693</v>
      </c>
      <c r="V198" s="145">
        <f t="shared" ref="V198:W198" si="110">IF(V$20, $H139, $H136)</f>
        <v>0.33360729355705693</v>
      </c>
      <c r="W198" s="145">
        <f t="shared" si="110"/>
        <v>0.33360729355705693</v>
      </c>
      <c r="X198" s="145">
        <f t="shared" ref="X198:Y198" si="111">IF(X$20, $H139, $H136)</f>
        <v>0.33360729355705693</v>
      </c>
      <c r="Y198" s="145">
        <f t="shared" si="111"/>
        <v>0.33360729355705693</v>
      </c>
    </row>
    <row r="199" spans="5:25" x14ac:dyDescent="0.25">
      <c r="E199" s="29"/>
      <c r="F199" s="80" t="s">
        <v>257</v>
      </c>
      <c r="G199" s="67" t="s">
        <v>167</v>
      </c>
      <c r="H199" s="141"/>
      <c r="I199" s="37"/>
      <c r="J199" s="155">
        <f t="shared" ref="J199:K199" si="112">IF(J$20, $H140, $H137)</f>
        <v>4.3711707155532332E-2</v>
      </c>
      <c r="K199" s="155">
        <f t="shared" si="112"/>
        <v>4.3711707155532332E-2</v>
      </c>
      <c r="L199" s="155">
        <f t="shared" ref="L199:M199" si="113">IF(L$20, $H140, $H137)</f>
        <v>4.3711707155532332E-2</v>
      </c>
      <c r="M199" s="155">
        <f t="shared" si="113"/>
        <v>4.3711707155532332E-2</v>
      </c>
      <c r="N199" s="155">
        <f t="shared" ref="N199:P199" si="114">IF(N$20, $H140, $H137)</f>
        <v>4.3711707155532332E-2</v>
      </c>
      <c r="O199" s="155">
        <f t="shared" si="114"/>
        <v>4.3711707155532332E-2</v>
      </c>
      <c r="P199" s="155">
        <f t="shared" si="114"/>
        <v>4.3711707155532332E-2</v>
      </c>
      <c r="Q199" s="155">
        <f t="shared" ref="Q199:S199" si="115">IF(Q$20, $H140, $H137)</f>
        <v>4.3711707155532332E-2</v>
      </c>
      <c r="R199" s="155">
        <f t="shared" si="115"/>
        <v>4.3711707155532332E-2</v>
      </c>
      <c r="S199" s="155">
        <f t="shared" si="115"/>
        <v>4.3711707155532332E-2</v>
      </c>
      <c r="T199" s="155">
        <f t="shared" ref="T199:U199" si="116">IF(T$20, $H140, $H137)</f>
        <v>4.3711707155532332E-2</v>
      </c>
      <c r="U199" s="155">
        <f t="shared" si="116"/>
        <v>4.3711707155532332E-2</v>
      </c>
      <c r="V199" s="155">
        <f t="shared" ref="V199:W199" si="117">IF(V$20, $H140, $H137)</f>
        <v>4.3711707155532332E-2</v>
      </c>
      <c r="W199" s="155">
        <f t="shared" si="117"/>
        <v>4.3711707155532332E-2</v>
      </c>
      <c r="X199" s="155">
        <f t="shared" ref="X199:Y199" si="118">IF(X$20, $H140, $H137)</f>
        <v>4.3711707155532332E-2</v>
      </c>
      <c r="Y199" s="155">
        <f t="shared" si="118"/>
        <v>4.3711707155532332E-2</v>
      </c>
    </row>
    <row r="200" spans="5:25" x14ac:dyDescent="0.25">
      <c r="E200" s="29"/>
      <c r="F200" s="72"/>
      <c r="G200" s="28"/>
      <c r="H200" s="25"/>
      <c r="J200" s="145"/>
      <c r="K200" s="145"/>
      <c r="L200" s="145"/>
      <c r="M200" s="145"/>
      <c r="N200" s="145"/>
      <c r="O200" s="145"/>
      <c r="P200" s="145"/>
      <c r="Q200" s="145"/>
      <c r="R200" s="145"/>
      <c r="S200" s="145"/>
      <c r="T200" s="145"/>
      <c r="U200" s="145"/>
      <c r="V200" s="145"/>
      <c r="W200" s="145"/>
      <c r="X200" s="145"/>
      <c r="Y200" s="145"/>
    </row>
    <row r="201" spans="5:25" x14ac:dyDescent="0.25">
      <c r="E201" s="32" t="s">
        <v>484</v>
      </c>
      <c r="G201" s="28"/>
    </row>
    <row r="202" spans="5:25" x14ac:dyDescent="0.25">
      <c r="E202" s="29"/>
      <c r="F202" s="78" t="s">
        <v>465</v>
      </c>
      <c r="G202" s="64" t="s">
        <v>167</v>
      </c>
      <c r="H202" s="107"/>
      <c r="I202" s="23"/>
      <c r="J202" s="154">
        <f t="shared" ref="J202:K202" si="119">IF(J$20, $H146, $H143)</f>
        <v>0.741068762730685</v>
      </c>
      <c r="K202" s="154">
        <f t="shared" si="119"/>
        <v>0.741068762730685</v>
      </c>
      <c r="L202" s="154">
        <f t="shared" ref="L202:M202" si="120">IF(L$20, $H146, $H143)</f>
        <v>0.741068762730685</v>
      </c>
      <c r="M202" s="154">
        <f t="shared" si="120"/>
        <v>0.741068762730685</v>
      </c>
      <c r="N202" s="154">
        <f t="shared" ref="N202:P202" si="121">IF(N$20, $H146, $H143)</f>
        <v>0.741068762730685</v>
      </c>
      <c r="O202" s="154">
        <f t="shared" si="121"/>
        <v>0.741068762730685</v>
      </c>
      <c r="P202" s="154">
        <f t="shared" si="121"/>
        <v>0.741068762730685</v>
      </c>
      <c r="Q202" s="154">
        <f t="shared" ref="Q202:S202" si="122">IF(Q$20, $H146, $H143)</f>
        <v>0.71176029509313998</v>
      </c>
      <c r="R202" s="154">
        <f t="shared" si="122"/>
        <v>0.741068762730685</v>
      </c>
      <c r="S202" s="154">
        <f t="shared" si="122"/>
        <v>0.741068762730685</v>
      </c>
      <c r="T202" s="154">
        <f t="shared" ref="T202:U202" si="123">IF(T$20, $H146, $H143)</f>
        <v>0.741068762730685</v>
      </c>
      <c r="U202" s="154">
        <f t="shared" si="123"/>
        <v>0.741068762730685</v>
      </c>
      <c r="V202" s="154">
        <f t="shared" ref="V202:W202" si="124">IF(V$20, $H146, $H143)</f>
        <v>0.741068762730685</v>
      </c>
      <c r="W202" s="154">
        <f t="shared" si="124"/>
        <v>0.741068762730685</v>
      </c>
      <c r="X202" s="154">
        <f t="shared" ref="X202:Y202" si="125">IF(X$20, $H146, $H143)</f>
        <v>0.741068762730685</v>
      </c>
      <c r="Y202" s="154">
        <f t="shared" si="125"/>
        <v>0.741068762730685</v>
      </c>
    </row>
    <row r="203" spans="5:25" x14ac:dyDescent="0.25">
      <c r="E203" s="29"/>
      <c r="F203" s="72" t="s">
        <v>466</v>
      </c>
      <c r="G203" s="28" t="s">
        <v>167</v>
      </c>
      <c r="H203" s="25"/>
      <c r="J203" s="145">
        <f t="shared" ref="J203:K203" si="126">IF(J$20, $H147, $H144)</f>
        <v>0.23815127009110379</v>
      </c>
      <c r="K203" s="145">
        <f t="shared" si="126"/>
        <v>0.23815127009110379</v>
      </c>
      <c r="L203" s="145">
        <f t="shared" ref="L203:M203" si="127">IF(L$20, $H147, $H144)</f>
        <v>0.23815127009110379</v>
      </c>
      <c r="M203" s="145">
        <f t="shared" si="127"/>
        <v>0.23815127009110379</v>
      </c>
      <c r="N203" s="145">
        <f t="shared" ref="N203:P203" si="128">IF(N$20, $H147, $H144)</f>
        <v>0.23815127009110379</v>
      </c>
      <c r="O203" s="145">
        <f t="shared" si="128"/>
        <v>0.23815127009110379</v>
      </c>
      <c r="P203" s="145">
        <f t="shared" si="128"/>
        <v>0.23815127009110379</v>
      </c>
      <c r="Q203" s="145">
        <f t="shared" ref="Q203:S203" si="129">IF(Q$20, $H147, $H144)</f>
        <v>0.26745973772864884</v>
      </c>
      <c r="R203" s="145">
        <f t="shared" si="129"/>
        <v>0.23815127009110379</v>
      </c>
      <c r="S203" s="145">
        <f t="shared" si="129"/>
        <v>0.23815127009110379</v>
      </c>
      <c r="T203" s="145">
        <f t="shared" ref="T203:U203" si="130">IF(T$20, $H147, $H144)</f>
        <v>0.23815127009110379</v>
      </c>
      <c r="U203" s="145">
        <f t="shared" si="130"/>
        <v>0.23815127009110379</v>
      </c>
      <c r="V203" s="145">
        <f t="shared" ref="V203:W203" si="131">IF(V$20, $H147, $H144)</f>
        <v>0.23815127009110379</v>
      </c>
      <c r="W203" s="145">
        <f t="shared" si="131"/>
        <v>0.23815127009110379</v>
      </c>
      <c r="X203" s="145">
        <f t="shared" ref="X203:Y203" si="132">IF(X$20, $H147, $H144)</f>
        <v>0.23815127009110379</v>
      </c>
      <c r="Y203" s="145">
        <f t="shared" si="132"/>
        <v>0.23815127009110379</v>
      </c>
    </row>
    <row r="204" spans="5:25" x14ac:dyDescent="0.25">
      <c r="E204" s="29"/>
      <c r="F204" s="80" t="s">
        <v>257</v>
      </c>
      <c r="G204" s="67" t="s">
        <v>167</v>
      </c>
      <c r="H204" s="141"/>
      <c r="I204" s="37"/>
      <c r="J204" s="155">
        <f t="shared" ref="J204:K204" si="133">IF(J$20, $H148, $H145)</f>
        <v>2.0779967178211251E-2</v>
      </c>
      <c r="K204" s="155">
        <f t="shared" si="133"/>
        <v>2.0779967178211251E-2</v>
      </c>
      <c r="L204" s="155">
        <f t="shared" ref="L204:M204" si="134">IF(L$20, $H148, $H145)</f>
        <v>2.0779967178211251E-2</v>
      </c>
      <c r="M204" s="155">
        <f t="shared" si="134"/>
        <v>2.0779967178211251E-2</v>
      </c>
      <c r="N204" s="155">
        <f t="shared" ref="N204:P204" si="135">IF(N$20, $H148, $H145)</f>
        <v>2.0779967178211251E-2</v>
      </c>
      <c r="O204" s="155">
        <f t="shared" si="135"/>
        <v>2.0779967178211251E-2</v>
      </c>
      <c r="P204" s="155">
        <f t="shared" si="135"/>
        <v>2.0779967178211251E-2</v>
      </c>
      <c r="Q204" s="155">
        <f t="shared" ref="Q204:S204" si="136">IF(Q$20, $H148, $H145)</f>
        <v>2.0779967178211251E-2</v>
      </c>
      <c r="R204" s="155">
        <f t="shared" si="136"/>
        <v>2.0779967178211251E-2</v>
      </c>
      <c r="S204" s="155">
        <f t="shared" si="136"/>
        <v>2.0779967178211251E-2</v>
      </c>
      <c r="T204" s="155">
        <f t="shared" ref="T204:U204" si="137">IF(T$20, $H148, $H145)</f>
        <v>2.0779967178211251E-2</v>
      </c>
      <c r="U204" s="155">
        <f t="shared" si="137"/>
        <v>2.0779967178211251E-2</v>
      </c>
      <c r="V204" s="155">
        <f t="shared" ref="V204:W204" si="138">IF(V$20, $H148, $H145)</f>
        <v>2.0779967178211251E-2</v>
      </c>
      <c r="W204" s="155">
        <f t="shared" si="138"/>
        <v>2.0779967178211251E-2</v>
      </c>
      <c r="X204" s="155">
        <f t="shared" ref="X204:Y204" si="139">IF(X$20, $H148, $H145)</f>
        <v>2.0779967178211251E-2</v>
      </c>
      <c r="Y204" s="155">
        <f t="shared" si="139"/>
        <v>2.0779967178211251E-2</v>
      </c>
    </row>
    <row r="205" spans="5:25" x14ac:dyDescent="0.25">
      <c r="E205" s="29"/>
      <c r="F205" s="72"/>
      <c r="G205" s="28"/>
      <c r="H205" s="25"/>
      <c r="J205" s="145"/>
      <c r="K205" s="145"/>
      <c r="L205" s="145"/>
      <c r="M205" s="145"/>
      <c r="N205" s="145"/>
      <c r="O205" s="145"/>
      <c r="P205" s="145"/>
      <c r="Q205" s="145"/>
      <c r="R205" s="145"/>
      <c r="S205" s="145"/>
      <c r="T205" s="145"/>
      <c r="U205" s="145"/>
      <c r="V205" s="145"/>
      <c r="W205" s="145"/>
      <c r="X205" s="145"/>
      <c r="Y205" s="145"/>
    </row>
    <row r="206" spans="5:25" x14ac:dyDescent="0.25">
      <c r="E206" s="32" t="s">
        <v>485</v>
      </c>
      <c r="G206" s="28"/>
    </row>
    <row r="207" spans="5:25" x14ac:dyDescent="0.25">
      <c r="E207" s="29"/>
      <c r="F207" s="78" t="s">
        <v>465</v>
      </c>
      <c r="G207" s="64" t="s">
        <v>167</v>
      </c>
      <c r="H207" s="107"/>
      <c r="I207" s="23"/>
      <c r="J207" s="154">
        <f t="shared" ref="J207:K207" si="140">IF(J$20, $H154, $H151)</f>
        <v>0.62268099928741061</v>
      </c>
      <c r="K207" s="154">
        <f t="shared" si="140"/>
        <v>0.62268099928741061</v>
      </c>
      <c r="L207" s="154">
        <f t="shared" ref="L207:M207" si="141">IF(L$20, $H154, $H151)</f>
        <v>0.62268099928741061</v>
      </c>
      <c r="M207" s="154">
        <f t="shared" si="141"/>
        <v>0.62268099928741061</v>
      </c>
      <c r="N207" s="154">
        <f t="shared" ref="N207:P207" si="142">IF(N$20, $H154, $H151)</f>
        <v>0.62268099928741061</v>
      </c>
      <c r="O207" s="154">
        <f t="shared" si="142"/>
        <v>0.62268099928741061</v>
      </c>
      <c r="P207" s="154">
        <f t="shared" si="142"/>
        <v>0.62268099928741061</v>
      </c>
      <c r="Q207" s="154">
        <f t="shared" ref="Q207:S207" si="143">IF(Q$20, $H154, $H151)</f>
        <v>0.60271442265322939</v>
      </c>
      <c r="R207" s="154">
        <f t="shared" si="143"/>
        <v>0.62268099928741061</v>
      </c>
      <c r="S207" s="154">
        <f t="shared" si="143"/>
        <v>0.62268099928741061</v>
      </c>
      <c r="T207" s="154">
        <f t="shared" ref="T207:U207" si="144">IF(T$20, $H154, $H151)</f>
        <v>0.62268099928741061</v>
      </c>
      <c r="U207" s="154">
        <f t="shared" si="144"/>
        <v>0.62268099928741061</v>
      </c>
      <c r="V207" s="154">
        <f t="shared" ref="V207:W207" si="145">IF(V$20, $H154, $H151)</f>
        <v>0.62268099928741061</v>
      </c>
      <c r="W207" s="154">
        <f t="shared" si="145"/>
        <v>0.62268099928741061</v>
      </c>
      <c r="X207" s="154">
        <f t="shared" ref="X207:Y207" si="146">IF(X$20, $H154, $H151)</f>
        <v>0.62268099928741061</v>
      </c>
      <c r="Y207" s="154">
        <f t="shared" si="146"/>
        <v>0.62268099928741061</v>
      </c>
    </row>
    <row r="208" spans="5:25" x14ac:dyDescent="0.25">
      <c r="E208" s="29"/>
      <c r="F208" s="72" t="s">
        <v>466</v>
      </c>
      <c r="G208" s="28" t="s">
        <v>167</v>
      </c>
      <c r="H208" s="25"/>
      <c r="J208" s="145">
        <f t="shared" ref="J208:K208" si="147">IF(J$20, $H155, $H152)</f>
        <v>0.33360729355705693</v>
      </c>
      <c r="K208" s="145">
        <f t="shared" si="147"/>
        <v>0.33360729355705693</v>
      </c>
      <c r="L208" s="145">
        <f t="shared" ref="L208:M208" si="148">IF(L$20, $H155, $H152)</f>
        <v>0.33360729355705693</v>
      </c>
      <c r="M208" s="145">
        <f t="shared" si="148"/>
        <v>0.33360729355705693</v>
      </c>
      <c r="N208" s="145">
        <f t="shared" ref="N208:P208" si="149">IF(N$20, $H155, $H152)</f>
        <v>0.33360729355705693</v>
      </c>
      <c r="O208" s="145">
        <f t="shared" si="149"/>
        <v>0.33360729355705693</v>
      </c>
      <c r="P208" s="145">
        <f t="shared" si="149"/>
        <v>0.33360729355705693</v>
      </c>
      <c r="Q208" s="145">
        <f t="shared" ref="Q208:S208" si="150">IF(Q$20, $H155, $H152)</f>
        <v>0.3535738701912382</v>
      </c>
      <c r="R208" s="145">
        <f t="shared" si="150"/>
        <v>0.33360729355705693</v>
      </c>
      <c r="S208" s="145">
        <f t="shared" si="150"/>
        <v>0.33360729355705693</v>
      </c>
      <c r="T208" s="145">
        <f t="shared" ref="T208:U208" si="151">IF(T$20, $H155, $H152)</f>
        <v>0.33360729355705693</v>
      </c>
      <c r="U208" s="145">
        <f t="shared" si="151"/>
        <v>0.33360729355705693</v>
      </c>
      <c r="V208" s="145">
        <f t="shared" ref="V208:W208" si="152">IF(V$20, $H155, $H152)</f>
        <v>0.33360729355705693</v>
      </c>
      <c r="W208" s="145">
        <f t="shared" si="152"/>
        <v>0.33360729355705693</v>
      </c>
      <c r="X208" s="145">
        <f t="shared" ref="X208:Y208" si="153">IF(X$20, $H155, $H152)</f>
        <v>0.33360729355705693</v>
      </c>
      <c r="Y208" s="145">
        <f t="shared" si="153"/>
        <v>0.33360729355705693</v>
      </c>
    </row>
    <row r="209" spans="3:27" x14ac:dyDescent="0.25">
      <c r="E209" s="29"/>
      <c r="F209" s="80" t="s">
        <v>257</v>
      </c>
      <c r="G209" s="67" t="s">
        <v>167</v>
      </c>
      <c r="H209" s="141"/>
      <c r="I209" s="37"/>
      <c r="J209" s="155">
        <f t="shared" ref="J209:K209" si="154">IF(J$20, $H156, $H153)</f>
        <v>4.3711707155532332E-2</v>
      </c>
      <c r="K209" s="155">
        <f t="shared" si="154"/>
        <v>4.3711707155532332E-2</v>
      </c>
      <c r="L209" s="155">
        <f t="shared" ref="L209:M209" si="155">IF(L$20, $H156, $H153)</f>
        <v>4.3711707155532332E-2</v>
      </c>
      <c r="M209" s="155">
        <f t="shared" si="155"/>
        <v>4.3711707155532332E-2</v>
      </c>
      <c r="N209" s="155">
        <f t="shared" ref="N209:P209" si="156">IF(N$20, $H156, $H153)</f>
        <v>4.3711707155532332E-2</v>
      </c>
      <c r="O209" s="155">
        <f t="shared" si="156"/>
        <v>4.3711707155532332E-2</v>
      </c>
      <c r="P209" s="155">
        <f t="shared" si="156"/>
        <v>4.3711707155532332E-2</v>
      </c>
      <c r="Q209" s="155">
        <f t="shared" ref="Q209:S209" si="157">IF(Q$20, $H156, $H153)</f>
        <v>4.3711707155532332E-2</v>
      </c>
      <c r="R209" s="155">
        <f t="shared" si="157"/>
        <v>4.3711707155532332E-2</v>
      </c>
      <c r="S209" s="155">
        <f t="shared" si="157"/>
        <v>4.3711707155532332E-2</v>
      </c>
      <c r="T209" s="155">
        <f t="shared" ref="T209:U209" si="158">IF(T$20, $H156, $H153)</f>
        <v>4.3711707155532332E-2</v>
      </c>
      <c r="U209" s="155">
        <f t="shared" si="158"/>
        <v>4.3711707155532332E-2</v>
      </c>
      <c r="V209" s="155">
        <f t="shared" ref="V209:W209" si="159">IF(V$20, $H156, $H153)</f>
        <v>4.3711707155532332E-2</v>
      </c>
      <c r="W209" s="155">
        <f t="shared" si="159"/>
        <v>4.3711707155532332E-2</v>
      </c>
      <c r="X209" s="155">
        <f t="shared" ref="X209:Y209" si="160">IF(X$20, $H156, $H153)</f>
        <v>4.3711707155532332E-2</v>
      </c>
      <c r="Y209" s="155">
        <f t="shared" si="160"/>
        <v>4.3711707155532332E-2</v>
      </c>
    </row>
    <row r="210" spans="3:27" x14ac:dyDescent="0.25">
      <c r="E210" s="29"/>
      <c r="F210" s="72"/>
      <c r="G210" s="28"/>
      <c r="H210" s="25"/>
      <c r="J210" s="145"/>
      <c r="K210" s="145"/>
      <c r="L210" s="145"/>
      <c r="M210" s="145"/>
      <c r="N210" s="145"/>
      <c r="O210" s="145"/>
      <c r="P210" s="145"/>
      <c r="Q210" s="145"/>
      <c r="R210" s="145"/>
      <c r="S210" s="145"/>
      <c r="T210" s="145"/>
      <c r="U210" s="145"/>
      <c r="V210" s="145"/>
      <c r="W210" s="145"/>
      <c r="X210" s="145"/>
      <c r="Y210" s="145"/>
    </row>
    <row r="211" spans="3:27" x14ac:dyDescent="0.25">
      <c r="E211" s="32" t="s">
        <v>486</v>
      </c>
      <c r="G211" s="28"/>
    </row>
    <row r="212" spans="3:27" x14ac:dyDescent="0.25">
      <c r="E212" s="29"/>
      <c r="F212" s="78" t="s">
        <v>465</v>
      </c>
      <c r="G212" s="64" t="s">
        <v>167</v>
      </c>
      <c r="H212" s="107"/>
      <c r="I212" s="23"/>
      <c r="J212" s="154">
        <f t="shared" ref="J212:K212" si="161">IF(J$20, $H162, $H159)</f>
        <v>0.62268099928741061</v>
      </c>
      <c r="K212" s="154">
        <f t="shared" si="161"/>
        <v>0.62268099928741061</v>
      </c>
      <c r="L212" s="154">
        <f t="shared" ref="L212:M212" si="162">IF(L$20, $H162, $H159)</f>
        <v>0.62268099928741061</v>
      </c>
      <c r="M212" s="154">
        <f t="shared" si="162"/>
        <v>0.62268099928741061</v>
      </c>
      <c r="N212" s="154">
        <f t="shared" ref="N212:P212" si="163">IF(N$20, $H162, $H159)</f>
        <v>0.62268099928741061</v>
      </c>
      <c r="O212" s="154">
        <f t="shared" si="163"/>
        <v>0.62268099928741061</v>
      </c>
      <c r="P212" s="154">
        <f t="shared" si="163"/>
        <v>0.62268099928741061</v>
      </c>
      <c r="Q212" s="154">
        <f t="shared" ref="Q212:S212" si="164">IF(Q$20, $H162, $H159)</f>
        <v>0.60271442265322939</v>
      </c>
      <c r="R212" s="154">
        <f t="shared" si="164"/>
        <v>0.62268099928741061</v>
      </c>
      <c r="S212" s="154">
        <f t="shared" si="164"/>
        <v>0.62268099928741061</v>
      </c>
      <c r="T212" s="154">
        <f t="shared" ref="T212:U212" si="165">IF(T$20, $H162, $H159)</f>
        <v>0.62268099928741061</v>
      </c>
      <c r="U212" s="154">
        <f t="shared" si="165"/>
        <v>0.62268099928741061</v>
      </c>
      <c r="V212" s="154">
        <f t="shared" ref="V212:W212" si="166">IF(V$20, $H162, $H159)</f>
        <v>0.62268099928741061</v>
      </c>
      <c r="W212" s="154">
        <f t="shared" si="166"/>
        <v>0.62268099928741061</v>
      </c>
      <c r="X212" s="154">
        <f t="shared" ref="X212:Y212" si="167">IF(X$20, $H162, $H159)</f>
        <v>0.62268099928741061</v>
      </c>
      <c r="Y212" s="154">
        <f t="shared" si="167"/>
        <v>0.62268099928741061</v>
      </c>
    </row>
    <row r="213" spans="3:27" x14ac:dyDescent="0.25">
      <c r="E213" s="29"/>
      <c r="F213" s="72" t="s">
        <v>466</v>
      </c>
      <c r="G213" s="28" t="s">
        <v>167</v>
      </c>
      <c r="H213" s="25"/>
      <c r="J213" s="145">
        <f t="shared" ref="J213:K213" si="168">IF(J$20, $H163, $H160)</f>
        <v>0.33360729355705693</v>
      </c>
      <c r="K213" s="145">
        <f t="shared" si="168"/>
        <v>0.33360729355705693</v>
      </c>
      <c r="L213" s="145">
        <f t="shared" ref="L213:M213" si="169">IF(L$20, $H163, $H160)</f>
        <v>0.33360729355705693</v>
      </c>
      <c r="M213" s="145">
        <f t="shared" si="169"/>
        <v>0.33360729355705693</v>
      </c>
      <c r="N213" s="145">
        <f t="shared" ref="N213:P213" si="170">IF(N$20, $H163, $H160)</f>
        <v>0.33360729355705693</v>
      </c>
      <c r="O213" s="145">
        <f t="shared" si="170"/>
        <v>0.33360729355705693</v>
      </c>
      <c r="P213" s="145">
        <f t="shared" si="170"/>
        <v>0.33360729355705693</v>
      </c>
      <c r="Q213" s="145">
        <f t="shared" ref="Q213:S213" si="171">IF(Q$20, $H163, $H160)</f>
        <v>0.3535738701912382</v>
      </c>
      <c r="R213" s="145">
        <f t="shared" si="171"/>
        <v>0.33360729355705693</v>
      </c>
      <c r="S213" s="145">
        <f t="shared" si="171"/>
        <v>0.33360729355705693</v>
      </c>
      <c r="T213" s="145">
        <f t="shared" ref="T213:U213" si="172">IF(T$20, $H163, $H160)</f>
        <v>0.33360729355705693</v>
      </c>
      <c r="U213" s="145">
        <f t="shared" si="172"/>
        <v>0.33360729355705693</v>
      </c>
      <c r="V213" s="145">
        <f t="shared" ref="V213:W213" si="173">IF(V$20, $H163, $H160)</f>
        <v>0.33360729355705693</v>
      </c>
      <c r="W213" s="145">
        <f t="shared" si="173"/>
        <v>0.33360729355705693</v>
      </c>
      <c r="X213" s="145">
        <f t="shared" ref="X213:Y213" si="174">IF(X$20, $H163, $H160)</f>
        <v>0.33360729355705693</v>
      </c>
      <c r="Y213" s="145">
        <f t="shared" si="174"/>
        <v>0.33360729355705693</v>
      </c>
    </row>
    <row r="214" spans="3:27" x14ac:dyDescent="0.25">
      <c r="E214" s="29"/>
      <c r="F214" s="80" t="s">
        <v>257</v>
      </c>
      <c r="G214" s="67" t="s">
        <v>167</v>
      </c>
      <c r="H214" s="141"/>
      <c r="I214" s="37"/>
      <c r="J214" s="155">
        <f t="shared" ref="J214:K214" si="175">IF(J$20, $H164, $H161)</f>
        <v>4.3711707155532332E-2</v>
      </c>
      <c r="K214" s="155">
        <f t="shared" si="175"/>
        <v>4.3711707155532332E-2</v>
      </c>
      <c r="L214" s="155">
        <f t="shared" ref="L214:M214" si="176">IF(L$20, $H164, $H161)</f>
        <v>4.3711707155532332E-2</v>
      </c>
      <c r="M214" s="155">
        <f t="shared" si="176"/>
        <v>4.3711707155532332E-2</v>
      </c>
      <c r="N214" s="155">
        <f t="shared" ref="N214:P214" si="177">IF(N$20, $H164, $H161)</f>
        <v>4.3711707155532332E-2</v>
      </c>
      <c r="O214" s="155">
        <f t="shared" si="177"/>
        <v>4.3711707155532332E-2</v>
      </c>
      <c r="P214" s="155">
        <f t="shared" si="177"/>
        <v>4.3711707155532332E-2</v>
      </c>
      <c r="Q214" s="155">
        <f t="shared" ref="Q214:S214" si="178">IF(Q$20, $H164, $H161)</f>
        <v>4.3711707155532332E-2</v>
      </c>
      <c r="R214" s="155">
        <f t="shared" si="178"/>
        <v>4.3711707155532332E-2</v>
      </c>
      <c r="S214" s="155">
        <f t="shared" si="178"/>
        <v>4.3711707155532332E-2</v>
      </c>
      <c r="T214" s="155">
        <f t="shared" ref="T214:U214" si="179">IF(T$20, $H164, $H161)</f>
        <v>4.3711707155532332E-2</v>
      </c>
      <c r="U214" s="155">
        <f t="shared" si="179"/>
        <v>4.3711707155532332E-2</v>
      </c>
      <c r="V214" s="155">
        <f t="shared" ref="V214:W214" si="180">IF(V$20, $H164, $H161)</f>
        <v>4.3711707155532332E-2</v>
      </c>
      <c r="W214" s="155">
        <f t="shared" si="180"/>
        <v>4.3711707155532332E-2</v>
      </c>
      <c r="X214" s="155">
        <f t="shared" ref="X214:Y214" si="181">IF(X$20, $H164, $H161)</f>
        <v>4.3711707155532332E-2</v>
      </c>
      <c r="Y214" s="155">
        <f t="shared" si="181"/>
        <v>4.3711707155532332E-2</v>
      </c>
    </row>
    <row r="215" spans="3:27" x14ac:dyDescent="0.25">
      <c r="E215" s="29"/>
      <c r="F215" s="72"/>
      <c r="G215" s="28"/>
      <c r="H215" s="25"/>
      <c r="J215" s="145"/>
      <c r="K215" s="145"/>
      <c r="L215" s="145"/>
      <c r="M215" s="145"/>
      <c r="N215" s="145"/>
      <c r="O215" s="145"/>
      <c r="P215" s="145"/>
      <c r="Q215" s="145"/>
      <c r="R215" s="145"/>
      <c r="S215" s="145"/>
      <c r="T215" s="145"/>
      <c r="U215" s="145"/>
      <c r="V215" s="145"/>
      <c r="W215" s="145"/>
      <c r="X215" s="145"/>
      <c r="Y215" s="145"/>
    </row>
    <row r="216" spans="3:27" x14ac:dyDescent="0.25">
      <c r="E216" s="32" t="s">
        <v>487</v>
      </c>
      <c r="G216" s="28"/>
    </row>
    <row r="217" spans="3:27" x14ac:dyDescent="0.25">
      <c r="E217" s="29"/>
      <c r="F217" s="78" t="s">
        <v>465</v>
      </c>
      <c r="G217" s="64" t="s">
        <v>167</v>
      </c>
      <c r="H217" s="107"/>
      <c r="I217" s="23"/>
      <c r="J217" s="154">
        <f t="shared" ref="J217:K217" si="182">IF(J$20, $H170, $H167)</f>
        <v>0.62268099928741061</v>
      </c>
      <c r="K217" s="154">
        <f t="shared" si="182"/>
        <v>0.62268099928741061</v>
      </c>
      <c r="L217" s="154">
        <f t="shared" ref="L217:M217" si="183">IF(L$20, $H170, $H167)</f>
        <v>0.62268099928741061</v>
      </c>
      <c r="M217" s="154">
        <f t="shared" si="183"/>
        <v>0.62268099928741061</v>
      </c>
      <c r="N217" s="154">
        <f t="shared" ref="N217:P217" si="184">IF(N$20, $H170, $H167)</f>
        <v>0.62268099928741061</v>
      </c>
      <c r="O217" s="154">
        <f t="shared" si="184"/>
        <v>0.62268099928741061</v>
      </c>
      <c r="P217" s="154">
        <f t="shared" si="184"/>
        <v>0.62268099928741061</v>
      </c>
      <c r="Q217" s="154">
        <f t="shared" ref="Q217:S217" si="185">IF(Q$20, $H170, $H167)</f>
        <v>0.60271442265322939</v>
      </c>
      <c r="R217" s="154">
        <f t="shared" si="185"/>
        <v>0.62268099928741061</v>
      </c>
      <c r="S217" s="154">
        <f t="shared" si="185"/>
        <v>0.62268099928741061</v>
      </c>
      <c r="T217" s="154">
        <f t="shared" ref="T217:U217" si="186">IF(T$20, $H170, $H167)</f>
        <v>0.62268099928741061</v>
      </c>
      <c r="U217" s="154">
        <f t="shared" si="186"/>
        <v>0.62268099928741061</v>
      </c>
      <c r="V217" s="154">
        <f t="shared" ref="V217:W217" si="187">IF(V$20, $H170, $H167)</f>
        <v>0.62268099928741061</v>
      </c>
      <c r="W217" s="154">
        <f t="shared" si="187"/>
        <v>0.62268099928741061</v>
      </c>
      <c r="X217" s="154">
        <f t="shared" ref="X217:Y217" si="188">IF(X$20, $H170, $H167)</f>
        <v>0.62268099928741061</v>
      </c>
      <c r="Y217" s="154">
        <f t="shared" si="188"/>
        <v>0.62268099928741061</v>
      </c>
    </row>
    <row r="218" spans="3:27" x14ac:dyDescent="0.25">
      <c r="E218" s="29"/>
      <c r="F218" s="72" t="s">
        <v>466</v>
      </c>
      <c r="G218" s="28" t="s">
        <v>167</v>
      </c>
      <c r="H218" s="25"/>
      <c r="J218" s="145">
        <f t="shared" ref="J218:K218" si="189">IF(J$20, $H171, $H168)</f>
        <v>0.33360729355705693</v>
      </c>
      <c r="K218" s="145">
        <f t="shared" si="189"/>
        <v>0.33360729355705693</v>
      </c>
      <c r="L218" s="145">
        <f t="shared" ref="L218:M218" si="190">IF(L$20, $H171, $H168)</f>
        <v>0.33360729355705693</v>
      </c>
      <c r="M218" s="145">
        <f t="shared" si="190"/>
        <v>0.33360729355705693</v>
      </c>
      <c r="N218" s="145">
        <f t="shared" ref="N218:P218" si="191">IF(N$20, $H171, $H168)</f>
        <v>0.33360729355705693</v>
      </c>
      <c r="O218" s="145">
        <f t="shared" si="191"/>
        <v>0.33360729355705693</v>
      </c>
      <c r="P218" s="145">
        <f t="shared" si="191"/>
        <v>0.33360729355705693</v>
      </c>
      <c r="Q218" s="145">
        <f t="shared" ref="Q218:S218" si="192">IF(Q$20, $H171, $H168)</f>
        <v>0.3535738701912382</v>
      </c>
      <c r="R218" s="145">
        <f t="shared" si="192"/>
        <v>0.33360729355705693</v>
      </c>
      <c r="S218" s="145">
        <f t="shared" si="192"/>
        <v>0.33360729355705693</v>
      </c>
      <c r="T218" s="145">
        <f t="shared" ref="T218:U218" si="193">IF(T$20, $H171, $H168)</f>
        <v>0.33360729355705693</v>
      </c>
      <c r="U218" s="145">
        <f t="shared" si="193"/>
        <v>0.33360729355705693</v>
      </c>
      <c r="V218" s="145">
        <f t="shared" ref="V218:W218" si="194">IF(V$20, $H171, $H168)</f>
        <v>0.33360729355705693</v>
      </c>
      <c r="W218" s="145">
        <f t="shared" si="194"/>
        <v>0.33360729355705693</v>
      </c>
      <c r="X218" s="145">
        <f t="shared" ref="X218:Y218" si="195">IF(X$20, $H171, $H168)</f>
        <v>0.33360729355705693</v>
      </c>
      <c r="Y218" s="145">
        <f t="shared" si="195"/>
        <v>0.33360729355705693</v>
      </c>
    </row>
    <row r="219" spans="3:27" x14ac:dyDescent="0.25">
      <c r="E219" s="29"/>
      <c r="F219" s="80" t="s">
        <v>257</v>
      </c>
      <c r="G219" s="67" t="s">
        <v>167</v>
      </c>
      <c r="H219" s="141"/>
      <c r="I219" s="37"/>
      <c r="J219" s="155">
        <f t="shared" ref="J219:K219" si="196">IF(J$20, $H172, $H169)</f>
        <v>4.3711707155532332E-2</v>
      </c>
      <c r="K219" s="155">
        <f t="shared" si="196"/>
        <v>4.3711707155532332E-2</v>
      </c>
      <c r="L219" s="155">
        <f t="shared" ref="L219:M219" si="197">IF(L$20, $H172, $H169)</f>
        <v>4.3711707155532332E-2</v>
      </c>
      <c r="M219" s="155">
        <f t="shared" si="197"/>
        <v>4.3711707155532332E-2</v>
      </c>
      <c r="N219" s="155">
        <f t="shared" ref="N219:P219" si="198">IF(N$20, $H172, $H169)</f>
        <v>4.3711707155532332E-2</v>
      </c>
      <c r="O219" s="155">
        <f t="shared" si="198"/>
        <v>4.3711707155532332E-2</v>
      </c>
      <c r="P219" s="155">
        <f t="shared" si="198"/>
        <v>4.3711707155532332E-2</v>
      </c>
      <c r="Q219" s="155">
        <f t="shared" ref="Q219:S219" si="199">IF(Q$20, $H172, $H169)</f>
        <v>4.3711707155532332E-2</v>
      </c>
      <c r="R219" s="155">
        <f t="shared" si="199"/>
        <v>4.3711707155532332E-2</v>
      </c>
      <c r="S219" s="155">
        <f t="shared" si="199"/>
        <v>4.3711707155532332E-2</v>
      </c>
      <c r="T219" s="155">
        <f t="shared" ref="T219:U219" si="200">IF(T$20, $H172, $H169)</f>
        <v>4.3711707155532332E-2</v>
      </c>
      <c r="U219" s="155">
        <f t="shared" si="200"/>
        <v>4.3711707155532332E-2</v>
      </c>
      <c r="V219" s="155">
        <f t="shared" ref="V219:W219" si="201">IF(V$20, $H172, $H169)</f>
        <v>4.3711707155532332E-2</v>
      </c>
      <c r="W219" s="155">
        <f t="shared" si="201"/>
        <v>4.3711707155532332E-2</v>
      </c>
      <c r="X219" s="155">
        <f t="shared" ref="X219:Y219" si="202">IF(X$20, $H172, $H169)</f>
        <v>4.3711707155532332E-2</v>
      </c>
      <c r="Y219" s="155">
        <f t="shared" si="202"/>
        <v>4.3711707155532332E-2</v>
      </c>
    </row>
    <row r="220" spans="3:27" x14ac:dyDescent="0.25">
      <c r="D220" s="29"/>
      <c r="E220" s="72"/>
      <c r="G220" s="28"/>
      <c r="H220" s="25"/>
      <c r="J220" s="145"/>
      <c r="K220" s="145"/>
      <c r="L220" s="145"/>
      <c r="M220" s="145"/>
      <c r="N220" s="145"/>
      <c r="O220" s="145"/>
      <c r="P220" s="145"/>
      <c r="Q220" s="145"/>
      <c r="R220" s="145"/>
      <c r="S220" s="145"/>
      <c r="T220" s="145"/>
      <c r="U220" s="145"/>
      <c r="V220" s="145"/>
      <c r="W220" s="145"/>
      <c r="X220" s="145"/>
      <c r="Y220" s="145"/>
    </row>
    <row r="221" spans="3:27" x14ac:dyDescent="0.25">
      <c r="C221" s="31" t="str">
        <f ca="1">INDEX('Version control'!$H$34:$H$57,MATCH($A$1,'Version control'!$F$34:$F$57,0),1)&amp;"-J: Ratio of coincidence factor to load factor, based on uniform distribution in timebands and peaking probabilities"</f>
        <v>Section 105-J: Ratio of coincidence factor to load factor, based on uniform distribution in timebands and peaking probabilities</v>
      </c>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row>
    <row r="222" spans="3:27" x14ac:dyDescent="0.25">
      <c r="D222" s="29"/>
      <c r="E222" s="72"/>
      <c r="G222" s="28"/>
      <c r="H222" s="25"/>
      <c r="J222" s="145"/>
      <c r="K222" s="145"/>
      <c r="L222" s="145"/>
      <c r="M222" s="145"/>
      <c r="N222" s="145"/>
      <c r="O222" s="145"/>
      <c r="P222" s="145"/>
      <c r="Q222" s="145"/>
      <c r="R222" s="145"/>
      <c r="S222" s="145"/>
      <c r="T222" s="145"/>
      <c r="U222" s="145"/>
      <c r="V222" s="145"/>
      <c r="W222" s="145"/>
      <c r="X222" s="145"/>
      <c r="Y222" s="145"/>
    </row>
    <row r="223" spans="3:27" x14ac:dyDescent="0.25">
      <c r="E223" s="32" t="s">
        <v>488</v>
      </c>
      <c r="G223" s="28"/>
    </row>
    <row r="224" spans="3:27" x14ac:dyDescent="0.25">
      <c r="F224" s="64" t="s">
        <v>465</v>
      </c>
      <c r="G224" s="64" t="s">
        <v>489</v>
      </c>
      <c r="H224" s="23"/>
      <c r="I224" s="23"/>
      <c r="J224" s="158">
        <f t="shared" ref="J224:Y224" si="203">1 / J24</f>
        <v>1.277139208173691E-3</v>
      </c>
      <c r="K224" s="158">
        <f t="shared" si="203"/>
        <v>1.277139208173691E-3</v>
      </c>
      <c r="L224" s="158">
        <f t="shared" si="203"/>
        <v>1.277139208173691E-3</v>
      </c>
      <c r="M224" s="158">
        <f t="shared" si="203"/>
        <v>1.277139208173691E-3</v>
      </c>
      <c r="N224" s="158">
        <f t="shared" si="203"/>
        <v>1.277139208173691E-3</v>
      </c>
      <c r="O224" s="158">
        <f t="shared" si="203"/>
        <v>1.277139208173691E-3</v>
      </c>
      <c r="P224" s="158">
        <f t="shared" si="203"/>
        <v>1.277139208173691E-3</v>
      </c>
      <c r="Q224" s="158">
        <f t="shared" si="203"/>
        <v>3.875968992248062E-3</v>
      </c>
      <c r="R224" s="158">
        <f t="shared" si="203"/>
        <v>1.277139208173691E-3</v>
      </c>
      <c r="S224" s="158">
        <f t="shared" si="203"/>
        <v>1.277139208173691E-3</v>
      </c>
      <c r="T224" s="158">
        <f t="shared" si="203"/>
        <v>1.277139208173691E-3</v>
      </c>
      <c r="U224" s="158">
        <f t="shared" si="203"/>
        <v>1.277139208173691E-3</v>
      </c>
      <c r="V224" s="158">
        <f t="shared" si="203"/>
        <v>1.277139208173691E-3</v>
      </c>
      <c r="W224" s="158">
        <f t="shared" si="203"/>
        <v>1.277139208173691E-3</v>
      </c>
      <c r="X224" s="158">
        <f t="shared" si="203"/>
        <v>1.277139208173691E-3</v>
      </c>
      <c r="Y224" s="158">
        <f t="shared" si="203"/>
        <v>1.277139208173691E-3</v>
      </c>
    </row>
    <row r="225" spans="5:25" x14ac:dyDescent="0.25">
      <c r="F225" s="28" t="s">
        <v>466</v>
      </c>
      <c r="G225" s="28" t="s">
        <v>489</v>
      </c>
      <c r="J225" s="89">
        <f t="shared" ref="J225:Y225" si="204">1 / J25</f>
        <v>3.6489691662105453E-4</v>
      </c>
      <c r="K225" s="89">
        <f t="shared" si="204"/>
        <v>3.6489691662105453E-4</v>
      </c>
      <c r="L225" s="89">
        <f t="shared" si="204"/>
        <v>3.6489691662105453E-4</v>
      </c>
      <c r="M225" s="89">
        <f t="shared" si="204"/>
        <v>3.6489691662105453E-4</v>
      </c>
      <c r="N225" s="89">
        <f t="shared" si="204"/>
        <v>3.6489691662105453E-4</v>
      </c>
      <c r="O225" s="89">
        <f t="shared" si="204"/>
        <v>3.6489691662105453E-4</v>
      </c>
      <c r="P225" s="89">
        <f t="shared" si="204"/>
        <v>3.6489691662105453E-4</v>
      </c>
      <c r="Q225" s="89">
        <f t="shared" si="204"/>
        <v>3.062318174858368E-4</v>
      </c>
      <c r="R225" s="89">
        <f t="shared" si="204"/>
        <v>3.6489691662105453E-4</v>
      </c>
      <c r="S225" s="89">
        <f t="shared" si="204"/>
        <v>3.6489691662105453E-4</v>
      </c>
      <c r="T225" s="89">
        <f t="shared" si="204"/>
        <v>3.6489691662105453E-4</v>
      </c>
      <c r="U225" s="89">
        <f t="shared" si="204"/>
        <v>3.6489691662105453E-4</v>
      </c>
      <c r="V225" s="89">
        <f t="shared" si="204"/>
        <v>3.6489691662105453E-4</v>
      </c>
      <c r="W225" s="89">
        <f t="shared" si="204"/>
        <v>3.6489691662105453E-4</v>
      </c>
      <c r="X225" s="89">
        <f t="shared" si="204"/>
        <v>3.6489691662105453E-4</v>
      </c>
      <c r="Y225" s="89">
        <f t="shared" si="204"/>
        <v>3.6489691662105453E-4</v>
      </c>
    </row>
    <row r="226" spans="5:25" x14ac:dyDescent="0.25">
      <c r="F226" s="67" t="s">
        <v>257</v>
      </c>
      <c r="G226" s="67" t="s">
        <v>489</v>
      </c>
      <c r="H226" s="37"/>
      <c r="I226" s="37"/>
      <c r="J226" s="82">
        <f t="shared" ref="J226:Y226" si="205">1 / J26</f>
        <v>1.9096724911677647E-4</v>
      </c>
      <c r="K226" s="82">
        <f t="shared" si="205"/>
        <v>1.9096724911677647E-4</v>
      </c>
      <c r="L226" s="82">
        <f t="shared" si="205"/>
        <v>1.9096724911677647E-4</v>
      </c>
      <c r="M226" s="82">
        <f t="shared" si="205"/>
        <v>1.9096724911677647E-4</v>
      </c>
      <c r="N226" s="82">
        <f t="shared" si="205"/>
        <v>1.9096724911677647E-4</v>
      </c>
      <c r="O226" s="82">
        <f t="shared" si="205"/>
        <v>1.9096724911677647E-4</v>
      </c>
      <c r="P226" s="82">
        <f t="shared" si="205"/>
        <v>1.9096724911677647E-4</v>
      </c>
      <c r="Q226" s="82">
        <f t="shared" si="205"/>
        <v>1.9096724911677647E-4</v>
      </c>
      <c r="R226" s="82">
        <f t="shared" si="205"/>
        <v>1.9096724911677647E-4</v>
      </c>
      <c r="S226" s="82">
        <f t="shared" si="205"/>
        <v>1.9096724911677647E-4</v>
      </c>
      <c r="T226" s="82">
        <f t="shared" si="205"/>
        <v>1.9096724911677647E-4</v>
      </c>
      <c r="U226" s="82">
        <f t="shared" si="205"/>
        <v>1.9096724911677647E-4</v>
      </c>
      <c r="V226" s="82">
        <f t="shared" si="205"/>
        <v>1.9096724911677647E-4</v>
      </c>
      <c r="W226" s="82">
        <f t="shared" si="205"/>
        <v>1.9096724911677647E-4</v>
      </c>
      <c r="X226" s="82">
        <f t="shared" si="205"/>
        <v>1.9096724911677647E-4</v>
      </c>
      <c r="Y226" s="82">
        <f t="shared" si="205"/>
        <v>1.9096724911677647E-4</v>
      </c>
    </row>
    <row r="227" spans="5:25" x14ac:dyDescent="0.25">
      <c r="G227" s="28"/>
      <c r="J227" s="89"/>
      <c r="K227" s="89"/>
      <c r="L227" s="89"/>
      <c r="M227" s="89"/>
      <c r="N227" s="89"/>
      <c r="O227" s="89"/>
      <c r="P227" s="89"/>
      <c r="Q227" s="89"/>
      <c r="R227" s="89"/>
      <c r="S227" s="89"/>
      <c r="T227" s="89"/>
      <c r="U227" s="89"/>
      <c r="V227" s="89"/>
      <c r="W227" s="89"/>
      <c r="X227" s="89"/>
      <c r="Y227" s="89"/>
    </row>
    <row r="228" spans="5:25" x14ac:dyDescent="0.25">
      <c r="E228" s="32" t="s">
        <v>156</v>
      </c>
      <c r="G228" s="28"/>
      <c r="J228" s="89"/>
      <c r="K228" s="89"/>
      <c r="L228" s="89"/>
      <c r="M228" s="89"/>
      <c r="N228" s="89"/>
      <c r="O228" s="89"/>
      <c r="P228" s="89"/>
      <c r="Q228" s="89"/>
      <c r="R228" s="89"/>
      <c r="S228" s="89"/>
      <c r="T228" s="89"/>
      <c r="U228" s="89"/>
      <c r="V228" s="89"/>
      <c r="W228" s="89"/>
      <c r="X228" s="89"/>
      <c r="Y228" s="89"/>
    </row>
    <row r="229" spans="5:25" x14ac:dyDescent="0.25">
      <c r="F229" s="159" t="s">
        <v>191</v>
      </c>
      <c r="G229" s="64" t="s">
        <v>283</v>
      </c>
      <c r="H229" s="23"/>
      <c r="I229" s="23"/>
      <c r="J229" s="153">
        <f t="shared" ref="J229:Y229" si="206">J177 * J$224 * hours_in_year</f>
        <v>9.66398982153828</v>
      </c>
      <c r="K229" s="153">
        <f t="shared" si="206"/>
        <v>9.66398982153828</v>
      </c>
      <c r="L229" s="153">
        <f t="shared" si="206"/>
        <v>9.66398982153828</v>
      </c>
      <c r="M229" s="153">
        <f t="shared" si="206"/>
        <v>9.66398982153828</v>
      </c>
      <c r="N229" s="153">
        <f t="shared" si="206"/>
        <v>9.66398982153828</v>
      </c>
      <c r="O229" s="153">
        <f t="shared" si="206"/>
        <v>9.66398982153828</v>
      </c>
      <c r="P229" s="153">
        <f t="shared" si="206"/>
        <v>9.66398982153828</v>
      </c>
      <c r="Q229" s="153">
        <f t="shared" si="206"/>
        <v>24.792141074003752</v>
      </c>
      <c r="R229" s="153">
        <f t="shared" si="206"/>
        <v>9.66398982153828</v>
      </c>
      <c r="S229" s="153">
        <f t="shared" si="206"/>
        <v>9.66398982153828</v>
      </c>
      <c r="T229" s="153">
        <f t="shared" si="206"/>
        <v>9.66398982153828</v>
      </c>
      <c r="U229" s="153">
        <f t="shared" si="206"/>
        <v>9.66398982153828</v>
      </c>
      <c r="V229" s="153">
        <f t="shared" si="206"/>
        <v>9.66398982153828</v>
      </c>
      <c r="W229" s="153">
        <f t="shared" si="206"/>
        <v>9.66398982153828</v>
      </c>
      <c r="X229" s="153">
        <f t="shared" si="206"/>
        <v>9.66398982153828</v>
      </c>
      <c r="Y229" s="153">
        <f t="shared" si="206"/>
        <v>9.66398982153828</v>
      </c>
    </row>
    <row r="230" spans="5:25" x14ac:dyDescent="0.25">
      <c r="F230" s="160" t="s">
        <v>192</v>
      </c>
      <c r="G230" s="28" t="s">
        <v>283</v>
      </c>
      <c r="J230" s="153">
        <f t="shared" ref="J230:Y230" si="207">J182 * J224 * hours_in_year</f>
        <v>8.2908842420444451</v>
      </c>
      <c r="K230" s="153">
        <f t="shared" si="207"/>
        <v>8.2908842420444451</v>
      </c>
      <c r="L230" s="153">
        <f t="shared" si="207"/>
        <v>8.2908842420444451</v>
      </c>
      <c r="M230" s="153">
        <f t="shared" si="207"/>
        <v>8.2908842420444451</v>
      </c>
      <c r="N230" s="153">
        <f t="shared" si="207"/>
        <v>8.2908842420444451</v>
      </c>
      <c r="O230" s="153">
        <f t="shared" si="207"/>
        <v>8.2908842420444451</v>
      </c>
      <c r="P230" s="153">
        <f t="shared" si="207"/>
        <v>8.2908842420444451</v>
      </c>
      <c r="Q230" s="153">
        <f t="shared" si="207"/>
        <v>24.166744903162424</v>
      </c>
      <c r="R230" s="153">
        <f t="shared" si="207"/>
        <v>8.2908842420444451</v>
      </c>
      <c r="S230" s="153">
        <f t="shared" si="207"/>
        <v>8.2908842420444451</v>
      </c>
      <c r="T230" s="153">
        <f t="shared" si="207"/>
        <v>8.2908842420444451</v>
      </c>
      <c r="U230" s="153">
        <f t="shared" si="207"/>
        <v>8.2908842420444451</v>
      </c>
      <c r="V230" s="153">
        <f t="shared" si="207"/>
        <v>8.2908842420444451</v>
      </c>
      <c r="W230" s="153">
        <f t="shared" si="207"/>
        <v>8.2908842420444451</v>
      </c>
      <c r="X230" s="153">
        <f t="shared" si="207"/>
        <v>8.2908842420444451</v>
      </c>
      <c r="Y230" s="153">
        <f t="shared" si="207"/>
        <v>8.2908842420444451</v>
      </c>
    </row>
    <row r="231" spans="5:25" x14ac:dyDescent="0.25">
      <c r="F231" s="160" t="s">
        <v>193</v>
      </c>
      <c r="G231" s="28" t="s">
        <v>283</v>
      </c>
      <c r="J231" s="153">
        <f t="shared" ref="J231:Y231" si="208">J187 * J224 * hours_in_year</f>
        <v>8.2908842420444451</v>
      </c>
      <c r="K231" s="153">
        <f t="shared" si="208"/>
        <v>8.2908842420444451</v>
      </c>
      <c r="L231" s="153">
        <f t="shared" si="208"/>
        <v>8.2908842420444451</v>
      </c>
      <c r="M231" s="153">
        <f t="shared" si="208"/>
        <v>8.2908842420444451</v>
      </c>
      <c r="N231" s="153">
        <f t="shared" si="208"/>
        <v>8.2908842420444451</v>
      </c>
      <c r="O231" s="153">
        <f t="shared" si="208"/>
        <v>8.2908842420444451</v>
      </c>
      <c r="P231" s="153">
        <f t="shared" si="208"/>
        <v>8.2908842420444451</v>
      </c>
      <c r="Q231" s="153">
        <f t="shared" si="208"/>
        <v>24.166744903162424</v>
      </c>
      <c r="R231" s="153">
        <f t="shared" si="208"/>
        <v>8.2908842420444451</v>
      </c>
      <c r="S231" s="153">
        <f t="shared" si="208"/>
        <v>8.2908842420444451</v>
      </c>
      <c r="T231" s="153">
        <f t="shared" si="208"/>
        <v>8.2908842420444451</v>
      </c>
      <c r="U231" s="153">
        <f t="shared" si="208"/>
        <v>8.2908842420444451</v>
      </c>
      <c r="V231" s="153">
        <f t="shared" si="208"/>
        <v>8.2908842420444451</v>
      </c>
      <c r="W231" s="153">
        <f t="shared" si="208"/>
        <v>8.2908842420444451</v>
      </c>
      <c r="X231" s="153">
        <f t="shared" si="208"/>
        <v>8.2908842420444451</v>
      </c>
      <c r="Y231" s="153">
        <f t="shared" si="208"/>
        <v>8.2908842420444451</v>
      </c>
    </row>
    <row r="232" spans="5:25" x14ac:dyDescent="0.25">
      <c r="F232" s="160" t="s">
        <v>194</v>
      </c>
      <c r="G232" s="28" t="s">
        <v>283</v>
      </c>
      <c r="J232" s="153">
        <f t="shared" ref="J232:Y232" si="209">J192 * J224 * hours_in_year</f>
        <v>6.9663927889626018</v>
      </c>
      <c r="K232" s="153">
        <f t="shared" si="209"/>
        <v>6.9663927889626018</v>
      </c>
      <c r="L232" s="153">
        <f t="shared" si="209"/>
        <v>6.9663927889626018</v>
      </c>
      <c r="M232" s="153">
        <f t="shared" si="209"/>
        <v>6.9663927889626018</v>
      </c>
      <c r="N232" s="153">
        <f t="shared" si="209"/>
        <v>6.9663927889626018</v>
      </c>
      <c r="O232" s="153">
        <f t="shared" si="209"/>
        <v>6.9663927889626018</v>
      </c>
      <c r="P232" s="153">
        <f t="shared" si="209"/>
        <v>6.9663927889626018</v>
      </c>
      <c r="Q232" s="153">
        <f t="shared" si="209"/>
        <v>20.464257141249185</v>
      </c>
      <c r="R232" s="153">
        <f t="shared" si="209"/>
        <v>6.9663927889626018</v>
      </c>
      <c r="S232" s="153">
        <f t="shared" si="209"/>
        <v>6.9663927889626018</v>
      </c>
      <c r="T232" s="153">
        <f t="shared" si="209"/>
        <v>6.9663927889626018</v>
      </c>
      <c r="U232" s="153">
        <f t="shared" si="209"/>
        <v>6.9663927889626018</v>
      </c>
      <c r="V232" s="153">
        <f t="shared" si="209"/>
        <v>6.9663927889626018</v>
      </c>
      <c r="W232" s="153">
        <f t="shared" si="209"/>
        <v>6.9663927889626018</v>
      </c>
      <c r="X232" s="153">
        <f t="shared" si="209"/>
        <v>6.9663927889626018</v>
      </c>
      <c r="Y232" s="153">
        <f t="shared" si="209"/>
        <v>6.9663927889626018</v>
      </c>
    </row>
    <row r="233" spans="5:25" x14ac:dyDescent="0.25">
      <c r="F233" s="160" t="s">
        <v>195</v>
      </c>
      <c r="G233" s="28" t="s">
        <v>283</v>
      </c>
      <c r="J233" s="153">
        <f t="shared" ref="J233:Y233" si="210">J197 * J224 * hours_in_year</f>
        <v>6.9663927889626018</v>
      </c>
      <c r="K233" s="153">
        <f t="shared" si="210"/>
        <v>6.9663927889626018</v>
      </c>
      <c r="L233" s="153">
        <f t="shared" si="210"/>
        <v>6.9663927889626018</v>
      </c>
      <c r="M233" s="153">
        <f t="shared" si="210"/>
        <v>6.9663927889626018</v>
      </c>
      <c r="N233" s="153">
        <f t="shared" si="210"/>
        <v>6.9663927889626018</v>
      </c>
      <c r="O233" s="153">
        <f t="shared" si="210"/>
        <v>6.9663927889626018</v>
      </c>
      <c r="P233" s="153">
        <f t="shared" si="210"/>
        <v>6.9663927889626018</v>
      </c>
      <c r="Q233" s="153">
        <f t="shared" si="210"/>
        <v>20.464257141249185</v>
      </c>
      <c r="R233" s="153">
        <f t="shared" si="210"/>
        <v>6.9663927889626018</v>
      </c>
      <c r="S233" s="153">
        <f t="shared" si="210"/>
        <v>6.9663927889626018</v>
      </c>
      <c r="T233" s="153">
        <f t="shared" si="210"/>
        <v>6.9663927889626018</v>
      </c>
      <c r="U233" s="153">
        <f t="shared" si="210"/>
        <v>6.9663927889626018</v>
      </c>
      <c r="V233" s="153">
        <f t="shared" si="210"/>
        <v>6.9663927889626018</v>
      </c>
      <c r="W233" s="153">
        <f t="shared" si="210"/>
        <v>6.9663927889626018</v>
      </c>
      <c r="X233" s="153">
        <f t="shared" si="210"/>
        <v>6.9663927889626018</v>
      </c>
      <c r="Y233" s="153">
        <f t="shared" si="210"/>
        <v>6.9663927889626018</v>
      </c>
    </row>
    <row r="234" spans="5:25" x14ac:dyDescent="0.25">
      <c r="F234" s="160" t="s">
        <v>196</v>
      </c>
      <c r="G234" s="28" t="s">
        <v>283</v>
      </c>
      <c r="J234" s="153">
        <f t="shared" ref="J234:Y234" si="211">J202 * J224 * hours_in_year</f>
        <v>8.2908842420444451</v>
      </c>
      <c r="K234" s="153">
        <f t="shared" si="211"/>
        <v>8.2908842420444451</v>
      </c>
      <c r="L234" s="153">
        <f t="shared" si="211"/>
        <v>8.2908842420444451</v>
      </c>
      <c r="M234" s="153">
        <f t="shared" si="211"/>
        <v>8.2908842420444451</v>
      </c>
      <c r="N234" s="153">
        <f t="shared" si="211"/>
        <v>8.2908842420444451</v>
      </c>
      <c r="O234" s="153">
        <f t="shared" si="211"/>
        <v>8.2908842420444451</v>
      </c>
      <c r="P234" s="153">
        <f t="shared" si="211"/>
        <v>8.2908842420444451</v>
      </c>
      <c r="Q234" s="153">
        <f t="shared" si="211"/>
        <v>24.166744903162424</v>
      </c>
      <c r="R234" s="153">
        <f t="shared" si="211"/>
        <v>8.2908842420444451</v>
      </c>
      <c r="S234" s="153">
        <f t="shared" si="211"/>
        <v>8.2908842420444451</v>
      </c>
      <c r="T234" s="153">
        <f t="shared" si="211"/>
        <v>8.2908842420444451</v>
      </c>
      <c r="U234" s="153">
        <f t="shared" si="211"/>
        <v>8.2908842420444451</v>
      </c>
      <c r="V234" s="153">
        <f t="shared" si="211"/>
        <v>8.2908842420444451</v>
      </c>
      <c r="W234" s="153">
        <f t="shared" si="211"/>
        <v>8.2908842420444451</v>
      </c>
      <c r="X234" s="153">
        <f t="shared" si="211"/>
        <v>8.2908842420444451</v>
      </c>
      <c r="Y234" s="153">
        <f t="shared" si="211"/>
        <v>8.2908842420444451</v>
      </c>
    </row>
    <row r="235" spans="5:25" x14ac:dyDescent="0.25">
      <c r="F235" s="160" t="s">
        <v>197</v>
      </c>
      <c r="G235" s="28" t="s">
        <v>283</v>
      </c>
      <c r="J235" s="153">
        <f t="shared" ref="J235:Y235" si="212">J207 * J224 * hours_in_year</f>
        <v>6.9663927889626018</v>
      </c>
      <c r="K235" s="153">
        <f t="shared" si="212"/>
        <v>6.9663927889626018</v>
      </c>
      <c r="L235" s="153">
        <f t="shared" si="212"/>
        <v>6.9663927889626018</v>
      </c>
      <c r="M235" s="153">
        <f t="shared" si="212"/>
        <v>6.9663927889626018</v>
      </c>
      <c r="N235" s="153">
        <f t="shared" si="212"/>
        <v>6.9663927889626018</v>
      </c>
      <c r="O235" s="153">
        <f t="shared" si="212"/>
        <v>6.9663927889626018</v>
      </c>
      <c r="P235" s="153">
        <f t="shared" si="212"/>
        <v>6.9663927889626018</v>
      </c>
      <c r="Q235" s="153">
        <f t="shared" si="212"/>
        <v>20.464257141249185</v>
      </c>
      <c r="R235" s="153">
        <f t="shared" si="212"/>
        <v>6.9663927889626018</v>
      </c>
      <c r="S235" s="153">
        <f t="shared" si="212"/>
        <v>6.9663927889626018</v>
      </c>
      <c r="T235" s="153">
        <f t="shared" si="212"/>
        <v>6.9663927889626018</v>
      </c>
      <c r="U235" s="153">
        <f t="shared" si="212"/>
        <v>6.9663927889626018</v>
      </c>
      <c r="V235" s="153">
        <f t="shared" si="212"/>
        <v>6.9663927889626018</v>
      </c>
      <c r="W235" s="153">
        <f t="shared" si="212"/>
        <v>6.9663927889626018</v>
      </c>
      <c r="X235" s="153">
        <f t="shared" si="212"/>
        <v>6.9663927889626018</v>
      </c>
      <c r="Y235" s="153">
        <f t="shared" si="212"/>
        <v>6.9663927889626018</v>
      </c>
    </row>
    <row r="236" spans="5:25" x14ac:dyDescent="0.25">
      <c r="F236" s="160" t="s">
        <v>198</v>
      </c>
      <c r="G236" s="28" t="s">
        <v>283</v>
      </c>
      <c r="J236" s="153">
        <f t="shared" ref="J236:Y236" si="213">J212 * J224 * hours_in_year</f>
        <v>6.9663927889626018</v>
      </c>
      <c r="K236" s="153">
        <f t="shared" si="213"/>
        <v>6.9663927889626018</v>
      </c>
      <c r="L236" s="153">
        <f t="shared" si="213"/>
        <v>6.9663927889626018</v>
      </c>
      <c r="M236" s="153">
        <f t="shared" si="213"/>
        <v>6.9663927889626018</v>
      </c>
      <c r="N236" s="153">
        <f t="shared" si="213"/>
        <v>6.9663927889626018</v>
      </c>
      <c r="O236" s="153">
        <f t="shared" si="213"/>
        <v>6.9663927889626018</v>
      </c>
      <c r="P236" s="153">
        <f t="shared" si="213"/>
        <v>6.9663927889626018</v>
      </c>
      <c r="Q236" s="153">
        <f t="shared" si="213"/>
        <v>20.464257141249185</v>
      </c>
      <c r="R236" s="153">
        <f t="shared" si="213"/>
        <v>6.9663927889626018</v>
      </c>
      <c r="S236" s="153">
        <f t="shared" si="213"/>
        <v>6.9663927889626018</v>
      </c>
      <c r="T236" s="153">
        <f t="shared" si="213"/>
        <v>6.9663927889626018</v>
      </c>
      <c r="U236" s="153">
        <f t="shared" si="213"/>
        <v>6.9663927889626018</v>
      </c>
      <c r="V236" s="153">
        <f t="shared" si="213"/>
        <v>6.9663927889626018</v>
      </c>
      <c r="W236" s="153">
        <f t="shared" si="213"/>
        <v>6.9663927889626018</v>
      </c>
      <c r="X236" s="153">
        <f t="shared" si="213"/>
        <v>6.9663927889626018</v>
      </c>
      <c r="Y236" s="153">
        <f t="shared" si="213"/>
        <v>6.9663927889626018</v>
      </c>
    </row>
    <row r="237" spans="5:25" x14ac:dyDescent="0.25">
      <c r="F237" s="161" t="s">
        <v>199</v>
      </c>
      <c r="G237" s="67" t="s">
        <v>283</v>
      </c>
      <c r="H237" s="37"/>
      <c r="I237" s="37"/>
      <c r="J237" s="153">
        <f t="shared" ref="J237:Y237" si="214">J217 * J224 * hours_in_year</f>
        <v>6.9663927889626018</v>
      </c>
      <c r="K237" s="153">
        <f t="shared" si="214"/>
        <v>6.9663927889626018</v>
      </c>
      <c r="L237" s="153">
        <f t="shared" si="214"/>
        <v>6.9663927889626018</v>
      </c>
      <c r="M237" s="153">
        <f t="shared" si="214"/>
        <v>6.9663927889626018</v>
      </c>
      <c r="N237" s="153">
        <f t="shared" si="214"/>
        <v>6.9663927889626018</v>
      </c>
      <c r="O237" s="153">
        <f t="shared" si="214"/>
        <v>6.9663927889626018</v>
      </c>
      <c r="P237" s="153">
        <f t="shared" si="214"/>
        <v>6.9663927889626018</v>
      </c>
      <c r="Q237" s="153">
        <f t="shared" si="214"/>
        <v>20.464257141249185</v>
      </c>
      <c r="R237" s="153">
        <f t="shared" si="214"/>
        <v>6.9663927889626018</v>
      </c>
      <c r="S237" s="153">
        <f t="shared" si="214"/>
        <v>6.9663927889626018</v>
      </c>
      <c r="T237" s="153">
        <f t="shared" si="214"/>
        <v>6.9663927889626018</v>
      </c>
      <c r="U237" s="153">
        <f t="shared" si="214"/>
        <v>6.9663927889626018</v>
      </c>
      <c r="V237" s="153">
        <f t="shared" si="214"/>
        <v>6.9663927889626018</v>
      </c>
      <c r="W237" s="153">
        <f t="shared" si="214"/>
        <v>6.9663927889626018</v>
      </c>
      <c r="X237" s="153">
        <f t="shared" si="214"/>
        <v>6.9663927889626018</v>
      </c>
      <c r="Y237" s="153">
        <f t="shared" si="214"/>
        <v>6.9663927889626018</v>
      </c>
    </row>
    <row r="238" spans="5:25" x14ac:dyDescent="0.25">
      <c r="G238" s="28"/>
      <c r="J238" s="98"/>
      <c r="K238" s="98"/>
      <c r="L238" s="98"/>
      <c r="M238" s="98"/>
      <c r="N238" s="98"/>
      <c r="O238" s="98"/>
      <c r="P238" s="98"/>
      <c r="Q238" s="98"/>
      <c r="R238" s="98"/>
      <c r="S238" s="98"/>
      <c r="T238" s="98"/>
      <c r="U238" s="98"/>
      <c r="V238" s="98"/>
      <c r="W238" s="98"/>
      <c r="X238" s="98"/>
      <c r="Y238" s="98"/>
    </row>
    <row r="239" spans="5:25" x14ac:dyDescent="0.25">
      <c r="E239" s="32" t="s">
        <v>157</v>
      </c>
      <c r="G239" s="28"/>
      <c r="J239" s="89"/>
      <c r="K239" s="89"/>
      <c r="L239" s="89"/>
      <c r="M239" s="89"/>
      <c r="N239" s="89"/>
      <c r="O239" s="89"/>
      <c r="P239" s="89"/>
      <c r="Q239" s="89"/>
      <c r="R239" s="89"/>
      <c r="S239" s="89"/>
      <c r="T239" s="89"/>
      <c r="U239" s="89"/>
      <c r="V239" s="89"/>
      <c r="W239" s="89"/>
      <c r="X239" s="89"/>
      <c r="Y239" s="89"/>
    </row>
    <row r="240" spans="5:25" x14ac:dyDescent="0.25">
      <c r="F240" s="64" t="s">
        <v>191</v>
      </c>
      <c r="G240" s="64" t="s">
        <v>283</v>
      </c>
      <c r="H240" s="23"/>
      <c r="I240" s="23"/>
      <c r="J240" s="153">
        <f t="shared" ref="J240:Y240" si="215">J178 * J225 * hours_in_year</f>
        <v>0.4353570405895012</v>
      </c>
      <c r="K240" s="153">
        <f t="shared" si="215"/>
        <v>0.4353570405895012</v>
      </c>
      <c r="L240" s="153">
        <f t="shared" si="215"/>
        <v>0.4353570405895012</v>
      </c>
      <c r="M240" s="153">
        <f t="shared" si="215"/>
        <v>0.4353570405895012</v>
      </c>
      <c r="N240" s="153">
        <f t="shared" si="215"/>
        <v>0.4353570405895012</v>
      </c>
      <c r="O240" s="153">
        <f t="shared" si="215"/>
        <v>0.4353570405895012</v>
      </c>
      <c r="P240" s="153">
        <f t="shared" si="215"/>
        <v>0.4353570405895012</v>
      </c>
      <c r="Q240" s="153">
        <f t="shared" si="215"/>
        <v>0.72381797669791192</v>
      </c>
      <c r="R240" s="153">
        <f t="shared" si="215"/>
        <v>0.4353570405895012</v>
      </c>
      <c r="S240" s="153">
        <f t="shared" si="215"/>
        <v>0.4353570405895012</v>
      </c>
      <c r="T240" s="153">
        <f t="shared" si="215"/>
        <v>0.4353570405895012</v>
      </c>
      <c r="U240" s="153">
        <f t="shared" si="215"/>
        <v>0.4353570405895012</v>
      </c>
      <c r="V240" s="153">
        <f t="shared" si="215"/>
        <v>0.4353570405895012</v>
      </c>
      <c r="W240" s="153">
        <f t="shared" si="215"/>
        <v>0.4353570405895012</v>
      </c>
      <c r="X240" s="153">
        <f t="shared" si="215"/>
        <v>0.4353570405895012</v>
      </c>
      <c r="Y240" s="153">
        <f t="shared" si="215"/>
        <v>0.4353570405895012</v>
      </c>
    </row>
    <row r="241" spans="5:25" x14ac:dyDescent="0.25">
      <c r="F241" s="28" t="s">
        <v>192</v>
      </c>
      <c r="G241" s="28" t="s">
        <v>283</v>
      </c>
      <c r="J241" s="153">
        <f t="shared" ref="J241:Y241" si="216">J183 * J225 * hours_in_year</f>
        <v>0.76124981791573398</v>
      </c>
      <c r="K241" s="153">
        <f t="shared" si="216"/>
        <v>0.76124981791573398</v>
      </c>
      <c r="L241" s="153">
        <f t="shared" si="216"/>
        <v>0.76124981791573398</v>
      </c>
      <c r="M241" s="153">
        <f t="shared" si="216"/>
        <v>0.76124981791573398</v>
      </c>
      <c r="N241" s="153">
        <f t="shared" si="216"/>
        <v>0.76124981791573398</v>
      </c>
      <c r="O241" s="153">
        <f t="shared" si="216"/>
        <v>0.76124981791573398</v>
      </c>
      <c r="P241" s="153">
        <f t="shared" si="216"/>
        <v>0.76124981791573398</v>
      </c>
      <c r="Q241" s="153">
        <f t="shared" si="216"/>
        <v>0.71748501071902127</v>
      </c>
      <c r="R241" s="153">
        <f t="shared" si="216"/>
        <v>0.76124981791573398</v>
      </c>
      <c r="S241" s="153">
        <f t="shared" si="216"/>
        <v>0.76124981791573398</v>
      </c>
      <c r="T241" s="153">
        <f t="shared" si="216"/>
        <v>0.76124981791573398</v>
      </c>
      <c r="U241" s="153">
        <f t="shared" si="216"/>
        <v>0.76124981791573398</v>
      </c>
      <c r="V241" s="153">
        <f t="shared" si="216"/>
        <v>0.76124981791573398</v>
      </c>
      <c r="W241" s="153">
        <f t="shared" si="216"/>
        <v>0.76124981791573398</v>
      </c>
      <c r="X241" s="153">
        <f t="shared" si="216"/>
        <v>0.76124981791573398</v>
      </c>
      <c r="Y241" s="153">
        <f t="shared" si="216"/>
        <v>0.76124981791573398</v>
      </c>
    </row>
    <row r="242" spans="5:25" x14ac:dyDescent="0.25">
      <c r="F242" s="28" t="s">
        <v>193</v>
      </c>
      <c r="G242" s="28" t="s">
        <v>283</v>
      </c>
      <c r="J242" s="153">
        <f t="shared" ref="J242:Y242" si="217">J188 * J225 * hours_in_year</f>
        <v>0.76124981791573398</v>
      </c>
      <c r="K242" s="153">
        <f t="shared" si="217"/>
        <v>0.76124981791573398</v>
      </c>
      <c r="L242" s="153">
        <f t="shared" si="217"/>
        <v>0.76124981791573398</v>
      </c>
      <c r="M242" s="153">
        <f t="shared" si="217"/>
        <v>0.76124981791573398</v>
      </c>
      <c r="N242" s="153">
        <f t="shared" si="217"/>
        <v>0.76124981791573398</v>
      </c>
      <c r="O242" s="153">
        <f t="shared" si="217"/>
        <v>0.76124981791573398</v>
      </c>
      <c r="P242" s="153">
        <f t="shared" si="217"/>
        <v>0.76124981791573398</v>
      </c>
      <c r="Q242" s="153">
        <f t="shared" si="217"/>
        <v>0.71748501071902127</v>
      </c>
      <c r="R242" s="153">
        <f t="shared" si="217"/>
        <v>0.76124981791573398</v>
      </c>
      <c r="S242" s="153">
        <f t="shared" si="217"/>
        <v>0.76124981791573398</v>
      </c>
      <c r="T242" s="153">
        <f t="shared" si="217"/>
        <v>0.76124981791573398</v>
      </c>
      <c r="U242" s="153">
        <f t="shared" si="217"/>
        <v>0.76124981791573398</v>
      </c>
      <c r="V242" s="153">
        <f t="shared" si="217"/>
        <v>0.76124981791573398</v>
      </c>
      <c r="W242" s="153">
        <f t="shared" si="217"/>
        <v>0.76124981791573398</v>
      </c>
      <c r="X242" s="153">
        <f t="shared" si="217"/>
        <v>0.76124981791573398</v>
      </c>
      <c r="Y242" s="153">
        <f t="shared" si="217"/>
        <v>0.76124981791573398</v>
      </c>
    </row>
    <row r="243" spans="5:25" x14ac:dyDescent="0.25">
      <c r="F243" s="28" t="s">
        <v>194</v>
      </c>
      <c r="G243" s="28" t="s">
        <v>283</v>
      </c>
      <c r="J243" s="153">
        <f t="shared" ref="J243:Y243" si="218">J193 * J225 * hours_in_year</f>
        <v>1.0663747095638818</v>
      </c>
      <c r="K243" s="153">
        <f t="shared" si="218"/>
        <v>1.0663747095638818</v>
      </c>
      <c r="L243" s="153">
        <f t="shared" si="218"/>
        <v>1.0663747095638818</v>
      </c>
      <c r="M243" s="153">
        <f t="shared" si="218"/>
        <v>1.0663747095638818</v>
      </c>
      <c r="N243" s="153">
        <f t="shared" si="218"/>
        <v>1.0663747095638818</v>
      </c>
      <c r="O243" s="153">
        <f t="shared" si="218"/>
        <v>1.0663747095638818</v>
      </c>
      <c r="P243" s="153">
        <f t="shared" si="218"/>
        <v>1.0663747095638818</v>
      </c>
      <c r="Q243" s="153">
        <f t="shared" si="218"/>
        <v>0.94849398342527846</v>
      </c>
      <c r="R243" s="153">
        <f t="shared" si="218"/>
        <v>1.0663747095638818</v>
      </c>
      <c r="S243" s="153">
        <f t="shared" si="218"/>
        <v>1.0663747095638818</v>
      </c>
      <c r="T243" s="153">
        <f t="shared" si="218"/>
        <v>1.0663747095638818</v>
      </c>
      <c r="U243" s="153">
        <f t="shared" si="218"/>
        <v>1.0663747095638818</v>
      </c>
      <c r="V243" s="153">
        <f t="shared" si="218"/>
        <v>1.0663747095638818</v>
      </c>
      <c r="W243" s="153">
        <f t="shared" si="218"/>
        <v>1.0663747095638818</v>
      </c>
      <c r="X243" s="153">
        <f t="shared" si="218"/>
        <v>1.0663747095638818</v>
      </c>
      <c r="Y243" s="153">
        <f t="shared" si="218"/>
        <v>1.0663747095638818</v>
      </c>
    </row>
    <row r="244" spans="5:25" x14ac:dyDescent="0.25">
      <c r="F244" s="28" t="s">
        <v>195</v>
      </c>
      <c r="G244" s="28" t="s">
        <v>283</v>
      </c>
      <c r="J244" s="153">
        <f t="shared" ref="J244:Y244" si="219">J198 * J225 * hours_in_year</f>
        <v>1.0663747095638818</v>
      </c>
      <c r="K244" s="153">
        <f t="shared" si="219"/>
        <v>1.0663747095638818</v>
      </c>
      <c r="L244" s="153">
        <f t="shared" si="219"/>
        <v>1.0663747095638818</v>
      </c>
      <c r="M244" s="153">
        <f t="shared" si="219"/>
        <v>1.0663747095638818</v>
      </c>
      <c r="N244" s="153">
        <f t="shared" si="219"/>
        <v>1.0663747095638818</v>
      </c>
      <c r="O244" s="153">
        <f t="shared" si="219"/>
        <v>1.0663747095638818</v>
      </c>
      <c r="P244" s="153">
        <f t="shared" si="219"/>
        <v>1.0663747095638818</v>
      </c>
      <c r="Q244" s="153">
        <f t="shared" si="219"/>
        <v>0.94849398342527846</v>
      </c>
      <c r="R244" s="153">
        <f t="shared" si="219"/>
        <v>1.0663747095638818</v>
      </c>
      <c r="S244" s="153">
        <f t="shared" si="219"/>
        <v>1.0663747095638818</v>
      </c>
      <c r="T244" s="153">
        <f t="shared" si="219"/>
        <v>1.0663747095638818</v>
      </c>
      <c r="U244" s="153">
        <f t="shared" si="219"/>
        <v>1.0663747095638818</v>
      </c>
      <c r="V244" s="153">
        <f t="shared" si="219"/>
        <v>1.0663747095638818</v>
      </c>
      <c r="W244" s="153">
        <f t="shared" si="219"/>
        <v>1.0663747095638818</v>
      </c>
      <c r="X244" s="153">
        <f t="shared" si="219"/>
        <v>1.0663747095638818</v>
      </c>
      <c r="Y244" s="153">
        <f t="shared" si="219"/>
        <v>1.0663747095638818</v>
      </c>
    </row>
    <row r="245" spans="5:25" x14ac:dyDescent="0.25">
      <c r="F245" s="28" t="s">
        <v>196</v>
      </c>
      <c r="G245" s="28" t="s">
        <v>283</v>
      </c>
      <c r="J245" s="153">
        <f t="shared" ref="J245:Y245" si="220">J203 * J225 * hours_in_year</f>
        <v>0.76124981791573398</v>
      </c>
      <c r="K245" s="153">
        <f t="shared" si="220"/>
        <v>0.76124981791573398</v>
      </c>
      <c r="L245" s="153">
        <f t="shared" si="220"/>
        <v>0.76124981791573398</v>
      </c>
      <c r="M245" s="153">
        <f t="shared" si="220"/>
        <v>0.76124981791573398</v>
      </c>
      <c r="N245" s="153">
        <f t="shared" si="220"/>
        <v>0.76124981791573398</v>
      </c>
      <c r="O245" s="153">
        <f t="shared" si="220"/>
        <v>0.76124981791573398</v>
      </c>
      <c r="P245" s="153">
        <f t="shared" si="220"/>
        <v>0.76124981791573398</v>
      </c>
      <c r="Q245" s="153">
        <f t="shared" si="220"/>
        <v>0.71748501071902127</v>
      </c>
      <c r="R245" s="153">
        <f t="shared" si="220"/>
        <v>0.76124981791573398</v>
      </c>
      <c r="S245" s="153">
        <f t="shared" si="220"/>
        <v>0.76124981791573398</v>
      </c>
      <c r="T245" s="153">
        <f t="shared" si="220"/>
        <v>0.76124981791573398</v>
      </c>
      <c r="U245" s="153">
        <f t="shared" si="220"/>
        <v>0.76124981791573398</v>
      </c>
      <c r="V245" s="153">
        <f t="shared" si="220"/>
        <v>0.76124981791573398</v>
      </c>
      <c r="W245" s="153">
        <f t="shared" si="220"/>
        <v>0.76124981791573398</v>
      </c>
      <c r="X245" s="153">
        <f t="shared" si="220"/>
        <v>0.76124981791573398</v>
      </c>
      <c r="Y245" s="153">
        <f t="shared" si="220"/>
        <v>0.76124981791573398</v>
      </c>
    </row>
    <row r="246" spans="5:25" x14ac:dyDescent="0.25">
      <c r="F246" s="28" t="s">
        <v>197</v>
      </c>
      <c r="G246" s="28" t="s">
        <v>283</v>
      </c>
      <c r="J246" s="153">
        <f t="shared" ref="J246:Y246" si="221">J208 * J225 * hours_in_year</f>
        <v>1.0663747095638818</v>
      </c>
      <c r="K246" s="153">
        <f t="shared" si="221"/>
        <v>1.0663747095638818</v>
      </c>
      <c r="L246" s="153">
        <f t="shared" si="221"/>
        <v>1.0663747095638818</v>
      </c>
      <c r="M246" s="153">
        <f t="shared" si="221"/>
        <v>1.0663747095638818</v>
      </c>
      <c r="N246" s="153">
        <f t="shared" si="221"/>
        <v>1.0663747095638818</v>
      </c>
      <c r="O246" s="153">
        <f t="shared" si="221"/>
        <v>1.0663747095638818</v>
      </c>
      <c r="P246" s="153">
        <f t="shared" si="221"/>
        <v>1.0663747095638818</v>
      </c>
      <c r="Q246" s="153">
        <f t="shared" si="221"/>
        <v>0.94849398342527846</v>
      </c>
      <c r="R246" s="153">
        <f t="shared" si="221"/>
        <v>1.0663747095638818</v>
      </c>
      <c r="S246" s="153">
        <f t="shared" si="221"/>
        <v>1.0663747095638818</v>
      </c>
      <c r="T246" s="153">
        <f t="shared" si="221"/>
        <v>1.0663747095638818</v>
      </c>
      <c r="U246" s="153">
        <f t="shared" si="221"/>
        <v>1.0663747095638818</v>
      </c>
      <c r="V246" s="153">
        <f t="shared" si="221"/>
        <v>1.0663747095638818</v>
      </c>
      <c r="W246" s="153">
        <f t="shared" si="221"/>
        <v>1.0663747095638818</v>
      </c>
      <c r="X246" s="153">
        <f t="shared" si="221"/>
        <v>1.0663747095638818</v>
      </c>
      <c r="Y246" s="153">
        <f t="shared" si="221"/>
        <v>1.0663747095638818</v>
      </c>
    </row>
    <row r="247" spans="5:25" x14ac:dyDescent="0.25">
      <c r="F247" s="28" t="s">
        <v>198</v>
      </c>
      <c r="G247" s="28" t="s">
        <v>283</v>
      </c>
      <c r="J247" s="153">
        <f t="shared" ref="J247:Y247" si="222">J213 * J225 * hours_in_year</f>
        <v>1.0663747095638818</v>
      </c>
      <c r="K247" s="153">
        <f t="shared" si="222"/>
        <v>1.0663747095638818</v>
      </c>
      <c r="L247" s="153">
        <f t="shared" si="222"/>
        <v>1.0663747095638818</v>
      </c>
      <c r="M247" s="153">
        <f t="shared" si="222"/>
        <v>1.0663747095638818</v>
      </c>
      <c r="N247" s="153">
        <f t="shared" si="222"/>
        <v>1.0663747095638818</v>
      </c>
      <c r="O247" s="153">
        <f t="shared" si="222"/>
        <v>1.0663747095638818</v>
      </c>
      <c r="P247" s="153">
        <f t="shared" si="222"/>
        <v>1.0663747095638818</v>
      </c>
      <c r="Q247" s="153">
        <f t="shared" si="222"/>
        <v>0.94849398342527846</v>
      </c>
      <c r="R247" s="153">
        <f t="shared" si="222"/>
        <v>1.0663747095638818</v>
      </c>
      <c r="S247" s="153">
        <f t="shared" si="222"/>
        <v>1.0663747095638818</v>
      </c>
      <c r="T247" s="153">
        <f t="shared" si="222"/>
        <v>1.0663747095638818</v>
      </c>
      <c r="U247" s="153">
        <f t="shared" si="222"/>
        <v>1.0663747095638818</v>
      </c>
      <c r="V247" s="153">
        <f t="shared" si="222"/>
        <v>1.0663747095638818</v>
      </c>
      <c r="W247" s="153">
        <f t="shared" si="222"/>
        <v>1.0663747095638818</v>
      </c>
      <c r="X247" s="153">
        <f t="shared" si="222"/>
        <v>1.0663747095638818</v>
      </c>
      <c r="Y247" s="153">
        <f t="shared" si="222"/>
        <v>1.0663747095638818</v>
      </c>
    </row>
    <row r="248" spans="5:25" x14ac:dyDescent="0.25">
      <c r="F248" s="67" t="s">
        <v>199</v>
      </c>
      <c r="G248" s="67" t="s">
        <v>283</v>
      </c>
      <c r="H248" s="37"/>
      <c r="I248" s="37"/>
      <c r="J248" s="153">
        <f t="shared" ref="J248:Y248" si="223">J218 * J225 * hours_in_year</f>
        <v>1.0663747095638818</v>
      </c>
      <c r="K248" s="153">
        <f t="shared" si="223"/>
        <v>1.0663747095638818</v>
      </c>
      <c r="L248" s="153">
        <f t="shared" si="223"/>
        <v>1.0663747095638818</v>
      </c>
      <c r="M248" s="153">
        <f t="shared" si="223"/>
        <v>1.0663747095638818</v>
      </c>
      <c r="N248" s="153">
        <f t="shared" si="223"/>
        <v>1.0663747095638818</v>
      </c>
      <c r="O248" s="153">
        <f t="shared" si="223"/>
        <v>1.0663747095638818</v>
      </c>
      <c r="P248" s="153">
        <f t="shared" si="223"/>
        <v>1.0663747095638818</v>
      </c>
      <c r="Q248" s="153">
        <f t="shared" si="223"/>
        <v>0.94849398342527846</v>
      </c>
      <c r="R248" s="153">
        <f t="shared" si="223"/>
        <v>1.0663747095638818</v>
      </c>
      <c r="S248" s="153">
        <f t="shared" si="223"/>
        <v>1.0663747095638818</v>
      </c>
      <c r="T248" s="153">
        <f t="shared" si="223"/>
        <v>1.0663747095638818</v>
      </c>
      <c r="U248" s="153">
        <f t="shared" si="223"/>
        <v>1.0663747095638818</v>
      </c>
      <c r="V248" s="153">
        <f t="shared" si="223"/>
        <v>1.0663747095638818</v>
      </c>
      <c r="W248" s="153">
        <f t="shared" si="223"/>
        <v>1.0663747095638818</v>
      </c>
      <c r="X248" s="153">
        <f t="shared" si="223"/>
        <v>1.0663747095638818</v>
      </c>
      <c r="Y248" s="153">
        <f t="shared" si="223"/>
        <v>1.0663747095638818</v>
      </c>
    </row>
    <row r="249" spans="5:25" x14ac:dyDescent="0.25">
      <c r="J249" s="89"/>
      <c r="K249" s="89"/>
      <c r="L249" s="89"/>
      <c r="M249" s="89"/>
      <c r="N249" s="89"/>
      <c r="O249" s="89"/>
      <c r="P249" s="89"/>
      <c r="Q249" s="89"/>
      <c r="R249" s="89"/>
      <c r="S249" s="89"/>
      <c r="T249" s="89"/>
      <c r="U249" s="89"/>
      <c r="V249" s="89"/>
      <c r="W249" s="89"/>
      <c r="X249" s="89"/>
      <c r="Y249" s="89"/>
    </row>
    <row r="250" spans="5:25" x14ac:dyDescent="0.25">
      <c r="E250" s="32" t="s">
        <v>158</v>
      </c>
      <c r="G250" s="28"/>
      <c r="J250" s="89"/>
      <c r="K250" s="89"/>
      <c r="L250" s="89"/>
      <c r="M250" s="89"/>
      <c r="N250" s="89"/>
      <c r="O250" s="89"/>
      <c r="P250" s="89"/>
      <c r="Q250" s="89"/>
      <c r="R250" s="89"/>
      <c r="S250" s="89"/>
      <c r="T250" s="89"/>
      <c r="U250" s="89"/>
      <c r="V250" s="89"/>
      <c r="W250" s="89"/>
      <c r="X250" s="89"/>
      <c r="Y250" s="89"/>
    </row>
    <row r="251" spans="5:25" x14ac:dyDescent="0.25">
      <c r="F251" s="64" t="s">
        <v>191</v>
      </c>
      <c r="G251" s="64" t="s">
        <v>283</v>
      </c>
      <c r="H251" s="23"/>
      <c r="I251" s="23"/>
      <c r="J251" s="153">
        <f t="shared" ref="J251:Y251" si="224">J179 * J226 * hours_in_year</f>
        <v>0</v>
      </c>
      <c r="K251" s="153">
        <f t="shared" si="224"/>
        <v>0</v>
      </c>
      <c r="L251" s="153">
        <f t="shared" si="224"/>
        <v>0</v>
      </c>
      <c r="M251" s="153">
        <f t="shared" si="224"/>
        <v>0</v>
      </c>
      <c r="N251" s="153">
        <f t="shared" si="224"/>
        <v>0</v>
      </c>
      <c r="O251" s="153">
        <f t="shared" si="224"/>
        <v>0</v>
      </c>
      <c r="P251" s="153">
        <f t="shared" si="224"/>
        <v>0</v>
      </c>
      <c r="Q251" s="153">
        <f t="shared" si="224"/>
        <v>0</v>
      </c>
      <c r="R251" s="153">
        <f t="shared" si="224"/>
        <v>0</v>
      </c>
      <c r="S251" s="153">
        <f t="shared" si="224"/>
        <v>0</v>
      </c>
      <c r="T251" s="153">
        <f t="shared" si="224"/>
        <v>0</v>
      </c>
      <c r="U251" s="153">
        <f t="shared" si="224"/>
        <v>0</v>
      </c>
      <c r="V251" s="153">
        <f t="shared" si="224"/>
        <v>0</v>
      </c>
      <c r="W251" s="153">
        <f t="shared" si="224"/>
        <v>0</v>
      </c>
      <c r="X251" s="153">
        <f t="shared" si="224"/>
        <v>0</v>
      </c>
      <c r="Y251" s="153">
        <f t="shared" si="224"/>
        <v>0</v>
      </c>
    </row>
    <row r="252" spans="5:25" x14ac:dyDescent="0.25">
      <c r="F252" s="28" t="s">
        <v>192</v>
      </c>
      <c r="G252" s="28" t="s">
        <v>283</v>
      </c>
      <c r="J252" s="153">
        <f t="shared" ref="J252:Y252" si="225">J184 * J226 * hours_in_year</f>
        <v>3.4762248158336784E-2</v>
      </c>
      <c r="K252" s="153">
        <f t="shared" si="225"/>
        <v>3.4762248158336784E-2</v>
      </c>
      <c r="L252" s="153">
        <f t="shared" si="225"/>
        <v>3.4762248158336784E-2</v>
      </c>
      <c r="M252" s="153">
        <f t="shared" si="225"/>
        <v>3.4762248158336784E-2</v>
      </c>
      <c r="N252" s="153">
        <f t="shared" si="225"/>
        <v>3.4762248158336784E-2</v>
      </c>
      <c r="O252" s="153">
        <f t="shared" si="225"/>
        <v>3.4762248158336784E-2</v>
      </c>
      <c r="P252" s="153">
        <f t="shared" si="225"/>
        <v>3.4762248158336784E-2</v>
      </c>
      <c r="Q252" s="153">
        <f t="shared" si="225"/>
        <v>3.4762248158336784E-2</v>
      </c>
      <c r="R252" s="153">
        <f t="shared" si="225"/>
        <v>3.4762248158336784E-2</v>
      </c>
      <c r="S252" s="153">
        <f t="shared" si="225"/>
        <v>3.4762248158336784E-2</v>
      </c>
      <c r="T252" s="153">
        <f t="shared" si="225"/>
        <v>3.4762248158336784E-2</v>
      </c>
      <c r="U252" s="153">
        <f t="shared" si="225"/>
        <v>3.4762248158336784E-2</v>
      </c>
      <c r="V252" s="153">
        <f t="shared" si="225"/>
        <v>3.4762248158336784E-2</v>
      </c>
      <c r="W252" s="153">
        <f t="shared" si="225"/>
        <v>3.4762248158336784E-2</v>
      </c>
      <c r="X252" s="153">
        <f t="shared" si="225"/>
        <v>3.4762248158336784E-2</v>
      </c>
      <c r="Y252" s="153">
        <f t="shared" si="225"/>
        <v>3.4762248158336784E-2</v>
      </c>
    </row>
    <row r="253" spans="5:25" x14ac:dyDescent="0.25">
      <c r="F253" s="28" t="s">
        <v>193</v>
      </c>
      <c r="G253" s="28" t="s">
        <v>283</v>
      </c>
      <c r="J253" s="153">
        <f t="shared" ref="J253:Y253" si="226">J189 * J226 * hours_in_year</f>
        <v>3.4762248158336784E-2</v>
      </c>
      <c r="K253" s="153">
        <f t="shared" si="226"/>
        <v>3.4762248158336784E-2</v>
      </c>
      <c r="L253" s="153">
        <f t="shared" si="226"/>
        <v>3.4762248158336784E-2</v>
      </c>
      <c r="M253" s="153">
        <f t="shared" si="226"/>
        <v>3.4762248158336784E-2</v>
      </c>
      <c r="N253" s="153">
        <f t="shared" si="226"/>
        <v>3.4762248158336784E-2</v>
      </c>
      <c r="O253" s="153">
        <f t="shared" si="226"/>
        <v>3.4762248158336784E-2</v>
      </c>
      <c r="P253" s="153">
        <f t="shared" si="226"/>
        <v>3.4762248158336784E-2</v>
      </c>
      <c r="Q253" s="153">
        <f t="shared" si="226"/>
        <v>3.4762248158336784E-2</v>
      </c>
      <c r="R253" s="153">
        <f t="shared" si="226"/>
        <v>3.4762248158336784E-2</v>
      </c>
      <c r="S253" s="153">
        <f t="shared" si="226"/>
        <v>3.4762248158336784E-2</v>
      </c>
      <c r="T253" s="153">
        <f t="shared" si="226"/>
        <v>3.4762248158336784E-2</v>
      </c>
      <c r="U253" s="153">
        <f t="shared" si="226"/>
        <v>3.4762248158336784E-2</v>
      </c>
      <c r="V253" s="153">
        <f t="shared" si="226"/>
        <v>3.4762248158336784E-2</v>
      </c>
      <c r="W253" s="153">
        <f t="shared" si="226"/>
        <v>3.4762248158336784E-2</v>
      </c>
      <c r="X253" s="153">
        <f t="shared" si="226"/>
        <v>3.4762248158336784E-2</v>
      </c>
      <c r="Y253" s="153">
        <f t="shared" si="226"/>
        <v>3.4762248158336784E-2</v>
      </c>
    </row>
    <row r="254" spans="5:25" x14ac:dyDescent="0.25">
      <c r="F254" s="28" t="s">
        <v>194</v>
      </c>
      <c r="G254" s="28" t="s">
        <v>283</v>
      </c>
      <c r="J254" s="153">
        <f t="shared" ref="J254:Y254" si="227">J194 * J226 * hours_in_year</f>
        <v>7.3124139154485485E-2</v>
      </c>
      <c r="K254" s="153">
        <f t="shared" si="227"/>
        <v>7.3124139154485485E-2</v>
      </c>
      <c r="L254" s="153">
        <f t="shared" si="227"/>
        <v>7.3124139154485485E-2</v>
      </c>
      <c r="M254" s="153">
        <f t="shared" si="227"/>
        <v>7.3124139154485485E-2</v>
      </c>
      <c r="N254" s="153">
        <f t="shared" si="227"/>
        <v>7.3124139154485485E-2</v>
      </c>
      <c r="O254" s="153">
        <f t="shared" si="227"/>
        <v>7.3124139154485485E-2</v>
      </c>
      <c r="P254" s="153">
        <f t="shared" si="227"/>
        <v>7.3124139154485485E-2</v>
      </c>
      <c r="Q254" s="153">
        <f t="shared" si="227"/>
        <v>7.3124139154485485E-2</v>
      </c>
      <c r="R254" s="153">
        <f t="shared" si="227"/>
        <v>7.3124139154485485E-2</v>
      </c>
      <c r="S254" s="153">
        <f t="shared" si="227"/>
        <v>7.3124139154485485E-2</v>
      </c>
      <c r="T254" s="153">
        <f t="shared" si="227"/>
        <v>7.3124139154485485E-2</v>
      </c>
      <c r="U254" s="153">
        <f t="shared" si="227"/>
        <v>7.3124139154485485E-2</v>
      </c>
      <c r="V254" s="153">
        <f t="shared" si="227"/>
        <v>7.3124139154485485E-2</v>
      </c>
      <c r="W254" s="153">
        <f t="shared" si="227"/>
        <v>7.3124139154485485E-2</v>
      </c>
      <c r="X254" s="153">
        <f t="shared" si="227"/>
        <v>7.3124139154485485E-2</v>
      </c>
      <c r="Y254" s="153">
        <f t="shared" si="227"/>
        <v>7.3124139154485485E-2</v>
      </c>
    </row>
    <row r="255" spans="5:25" x14ac:dyDescent="0.25">
      <c r="F255" s="28" t="s">
        <v>195</v>
      </c>
      <c r="G255" s="28" t="s">
        <v>283</v>
      </c>
      <c r="J255" s="153">
        <f t="shared" ref="J255:Y255" si="228">J199 * J226 * hours_in_year</f>
        <v>7.3124139154485485E-2</v>
      </c>
      <c r="K255" s="153">
        <f t="shared" si="228"/>
        <v>7.3124139154485485E-2</v>
      </c>
      <c r="L255" s="153">
        <f t="shared" si="228"/>
        <v>7.3124139154485485E-2</v>
      </c>
      <c r="M255" s="153">
        <f t="shared" si="228"/>
        <v>7.3124139154485485E-2</v>
      </c>
      <c r="N255" s="153">
        <f t="shared" si="228"/>
        <v>7.3124139154485485E-2</v>
      </c>
      <c r="O255" s="153">
        <f t="shared" si="228"/>
        <v>7.3124139154485485E-2</v>
      </c>
      <c r="P255" s="153">
        <f t="shared" si="228"/>
        <v>7.3124139154485485E-2</v>
      </c>
      <c r="Q255" s="153">
        <f t="shared" si="228"/>
        <v>7.3124139154485485E-2</v>
      </c>
      <c r="R255" s="153">
        <f t="shared" si="228"/>
        <v>7.3124139154485485E-2</v>
      </c>
      <c r="S255" s="153">
        <f t="shared" si="228"/>
        <v>7.3124139154485485E-2</v>
      </c>
      <c r="T255" s="153">
        <f t="shared" si="228"/>
        <v>7.3124139154485485E-2</v>
      </c>
      <c r="U255" s="153">
        <f t="shared" si="228"/>
        <v>7.3124139154485485E-2</v>
      </c>
      <c r="V255" s="153">
        <f t="shared" si="228"/>
        <v>7.3124139154485485E-2</v>
      </c>
      <c r="W255" s="153">
        <f t="shared" si="228"/>
        <v>7.3124139154485485E-2</v>
      </c>
      <c r="X255" s="153">
        <f t="shared" si="228"/>
        <v>7.3124139154485485E-2</v>
      </c>
      <c r="Y255" s="153">
        <f t="shared" si="228"/>
        <v>7.3124139154485485E-2</v>
      </c>
    </row>
    <row r="256" spans="5:25" x14ac:dyDescent="0.25">
      <c r="F256" s="28" t="s">
        <v>196</v>
      </c>
      <c r="G256" s="28" t="s">
        <v>283</v>
      </c>
      <c r="J256" s="153">
        <f t="shared" ref="J256:Y256" si="229">J204 * J226 * hours_in_year</f>
        <v>3.4762248158336784E-2</v>
      </c>
      <c r="K256" s="153">
        <f t="shared" si="229"/>
        <v>3.4762248158336784E-2</v>
      </c>
      <c r="L256" s="153">
        <f t="shared" si="229"/>
        <v>3.4762248158336784E-2</v>
      </c>
      <c r="M256" s="153">
        <f t="shared" si="229"/>
        <v>3.4762248158336784E-2</v>
      </c>
      <c r="N256" s="153">
        <f t="shared" si="229"/>
        <v>3.4762248158336784E-2</v>
      </c>
      <c r="O256" s="153">
        <f t="shared" si="229"/>
        <v>3.4762248158336784E-2</v>
      </c>
      <c r="P256" s="153">
        <f t="shared" si="229"/>
        <v>3.4762248158336784E-2</v>
      </c>
      <c r="Q256" s="153">
        <f t="shared" si="229"/>
        <v>3.4762248158336784E-2</v>
      </c>
      <c r="R256" s="153">
        <f t="shared" si="229"/>
        <v>3.4762248158336784E-2</v>
      </c>
      <c r="S256" s="153">
        <f t="shared" si="229"/>
        <v>3.4762248158336784E-2</v>
      </c>
      <c r="T256" s="153">
        <f t="shared" si="229"/>
        <v>3.4762248158336784E-2</v>
      </c>
      <c r="U256" s="153">
        <f t="shared" si="229"/>
        <v>3.4762248158336784E-2</v>
      </c>
      <c r="V256" s="153">
        <f t="shared" si="229"/>
        <v>3.4762248158336784E-2</v>
      </c>
      <c r="W256" s="153">
        <f t="shared" si="229"/>
        <v>3.4762248158336784E-2</v>
      </c>
      <c r="X256" s="153">
        <f t="shared" si="229"/>
        <v>3.4762248158336784E-2</v>
      </c>
      <c r="Y256" s="153">
        <f t="shared" si="229"/>
        <v>3.4762248158336784E-2</v>
      </c>
    </row>
    <row r="257" spans="2:27" x14ac:dyDescent="0.25">
      <c r="F257" s="28" t="s">
        <v>197</v>
      </c>
      <c r="G257" s="28" t="s">
        <v>283</v>
      </c>
      <c r="J257" s="153">
        <f t="shared" ref="J257:Y257" si="230">J209 * J226 * hours_in_year</f>
        <v>7.3124139154485485E-2</v>
      </c>
      <c r="K257" s="153">
        <f t="shared" si="230"/>
        <v>7.3124139154485485E-2</v>
      </c>
      <c r="L257" s="153">
        <f t="shared" si="230"/>
        <v>7.3124139154485485E-2</v>
      </c>
      <c r="M257" s="153">
        <f t="shared" si="230"/>
        <v>7.3124139154485485E-2</v>
      </c>
      <c r="N257" s="153">
        <f t="shared" si="230"/>
        <v>7.3124139154485485E-2</v>
      </c>
      <c r="O257" s="153">
        <f t="shared" si="230"/>
        <v>7.3124139154485485E-2</v>
      </c>
      <c r="P257" s="153">
        <f t="shared" si="230"/>
        <v>7.3124139154485485E-2</v>
      </c>
      <c r="Q257" s="153">
        <f t="shared" si="230"/>
        <v>7.3124139154485485E-2</v>
      </c>
      <c r="R257" s="153">
        <f t="shared" si="230"/>
        <v>7.3124139154485485E-2</v>
      </c>
      <c r="S257" s="153">
        <f t="shared" si="230"/>
        <v>7.3124139154485485E-2</v>
      </c>
      <c r="T257" s="153">
        <f t="shared" si="230"/>
        <v>7.3124139154485485E-2</v>
      </c>
      <c r="U257" s="153">
        <f t="shared" si="230"/>
        <v>7.3124139154485485E-2</v>
      </c>
      <c r="V257" s="153">
        <f t="shared" si="230"/>
        <v>7.3124139154485485E-2</v>
      </c>
      <c r="W257" s="153">
        <f t="shared" si="230"/>
        <v>7.3124139154485485E-2</v>
      </c>
      <c r="X257" s="153">
        <f t="shared" si="230"/>
        <v>7.3124139154485485E-2</v>
      </c>
      <c r="Y257" s="153">
        <f t="shared" si="230"/>
        <v>7.3124139154485485E-2</v>
      </c>
    </row>
    <row r="258" spans="2:27" x14ac:dyDescent="0.25">
      <c r="F258" s="28" t="s">
        <v>198</v>
      </c>
      <c r="G258" s="28" t="s">
        <v>283</v>
      </c>
      <c r="J258" s="153">
        <f t="shared" ref="J258:Y258" si="231">J214 * J226 * hours_in_year</f>
        <v>7.3124139154485485E-2</v>
      </c>
      <c r="K258" s="153">
        <f t="shared" si="231"/>
        <v>7.3124139154485485E-2</v>
      </c>
      <c r="L258" s="153">
        <f t="shared" si="231"/>
        <v>7.3124139154485485E-2</v>
      </c>
      <c r="M258" s="153">
        <f t="shared" si="231"/>
        <v>7.3124139154485485E-2</v>
      </c>
      <c r="N258" s="153">
        <f t="shared" si="231"/>
        <v>7.3124139154485485E-2</v>
      </c>
      <c r="O258" s="153">
        <f t="shared" si="231"/>
        <v>7.3124139154485485E-2</v>
      </c>
      <c r="P258" s="153">
        <f t="shared" si="231"/>
        <v>7.3124139154485485E-2</v>
      </c>
      <c r="Q258" s="153">
        <f t="shared" si="231"/>
        <v>7.3124139154485485E-2</v>
      </c>
      <c r="R258" s="153">
        <f t="shared" si="231"/>
        <v>7.3124139154485485E-2</v>
      </c>
      <c r="S258" s="153">
        <f t="shared" si="231"/>
        <v>7.3124139154485485E-2</v>
      </c>
      <c r="T258" s="153">
        <f t="shared" si="231"/>
        <v>7.3124139154485485E-2</v>
      </c>
      <c r="U258" s="153">
        <f t="shared" si="231"/>
        <v>7.3124139154485485E-2</v>
      </c>
      <c r="V258" s="153">
        <f t="shared" si="231"/>
        <v>7.3124139154485485E-2</v>
      </c>
      <c r="W258" s="153">
        <f t="shared" si="231"/>
        <v>7.3124139154485485E-2</v>
      </c>
      <c r="X258" s="153">
        <f t="shared" si="231"/>
        <v>7.3124139154485485E-2</v>
      </c>
      <c r="Y258" s="153">
        <f t="shared" si="231"/>
        <v>7.3124139154485485E-2</v>
      </c>
    </row>
    <row r="259" spans="2:27" x14ac:dyDescent="0.25">
      <c r="F259" s="67" t="s">
        <v>199</v>
      </c>
      <c r="G259" s="67" t="s">
        <v>283</v>
      </c>
      <c r="H259" s="37"/>
      <c r="I259" s="37"/>
      <c r="J259" s="153">
        <f t="shared" ref="J259:Y259" si="232">J219 * J226 * hours_in_year</f>
        <v>7.3124139154485485E-2</v>
      </c>
      <c r="K259" s="153">
        <f t="shared" si="232"/>
        <v>7.3124139154485485E-2</v>
      </c>
      <c r="L259" s="153">
        <f t="shared" si="232"/>
        <v>7.3124139154485485E-2</v>
      </c>
      <c r="M259" s="153">
        <f t="shared" si="232"/>
        <v>7.3124139154485485E-2</v>
      </c>
      <c r="N259" s="153">
        <f t="shared" si="232"/>
        <v>7.3124139154485485E-2</v>
      </c>
      <c r="O259" s="153">
        <f t="shared" si="232"/>
        <v>7.3124139154485485E-2</v>
      </c>
      <c r="P259" s="153">
        <f t="shared" si="232"/>
        <v>7.3124139154485485E-2</v>
      </c>
      <c r="Q259" s="153">
        <f t="shared" si="232"/>
        <v>7.3124139154485485E-2</v>
      </c>
      <c r="R259" s="153">
        <f t="shared" si="232"/>
        <v>7.3124139154485485E-2</v>
      </c>
      <c r="S259" s="153">
        <f t="shared" si="232"/>
        <v>7.3124139154485485E-2</v>
      </c>
      <c r="T259" s="153">
        <f t="shared" si="232"/>
        <v>7.3124139154485485E-2</v>
      </c>
      <c r="U259" s="153">
        <f t="shared" si="232"/>
        <v>7.3124139154485485E-2</v>
      </c>
      <c r="V259" s="153">
        <f t="shared" si="232"/>
        <v>7.3124139154485485E-2</v>
      </c>
      <c r="W259" s="153">
        <f t="shared" si="232"/>
        <v>7.3124139154485485E-2</v>
      </c>
      <c r="X259" s="153">
        <f t="shared" si="232"/>
        <v>7.3124139154485485E-2</v>
      </c>
      <c r="Y259" s="153">
        <f t="shared" si="232"/>
        <v>7.3124139154485485E-2</v>
      </c>
    </row>
    <row r="260" spans="2:27" x14ac:dyDescent="0.25">
      <c r="J260" s="89"/>
      <c r="K260" s="89"/>
      <c r="L260" s="89"/>
      <c r="M260" s="89"/>
      <c r="N260" s="89"/>
      <c r="O260" s="89"/>
      <c r="P260" s="89"/>
      <c r="Q260" s="89"/>
      <c r="R260" s="89"/>
      <c r="S260" s="89"/>
      <c r="T260" s="89"/>
      <c r="U260" s="89"/>
      <c r="V260" s="89"/>
      <c r="W260" s="89"/>
      <c r="X260" s="89"/>
      <c r="Y260" s="89"/>
    </row>
    <row r="261" spans="2:27" x14ac:dyDescent="0.25">
      <c r="B261" s="30" t="s">
        <v>1004</v>
      </c>
      <c r="C261" s="105"/>
      <c r="D261" s="104"/>
      <c r="E261" s="104"/>
      <c r="F261" s="105"/>
      <c r="G261" s="105"/>
      <c r="H261" s="105"/>
      <c r="I261" s="105"/>
      <c r="J261" s="162"/>
      <c r="K261" s="162"/>
      <c r="L261" s="162"/>
      <c r="M261" s="162"/>
      <c r="N261" s="162"/>
      <c r="O261" s="162"/>
      <c r="P261" s="162"/>
      <c r="Q261" s="162"/>
      <c r="R261" s="162"/>
      <c r="S261" s="162"/>
      <c r="T261" s="162"/>
      <c r="U261" s="162"/>
      <c r="V261" s="162"/>
      <c r="W261" s="162"/>
      <c r="X261" s="162"/>
      <c r="Y261" s="162"/>
      <c r="Z261" s="105"/>
      <c r="AA261" s="105"/>
    </row>
    <row r="262" spans="2:27" x14ac:dyDescent="0.25">
      <c r="F262" s="28"/>
      <c r="G262" s="28"/>
      <c r="J262" s="89"/>
      <c r="K262" s="89"/>
      <c r="L262" s="89"/>
      <c r="M262" s="89"/>
      <c r="N262" s="89"/>
      <c r="O262" s="89"/>
      <c r="P262" s="89"/>
      <c r="Q262" s="89"/>
      <c r="R262" s="89"/>
      <c r="S262" s="89"/>
      <c r="T262" s="89"/>
      <c r="U262" s="89"/>
      <c r="V262" s="89"/>
      <c r="W262" s="89"/>
      <c r="X262" s="89"/>
      <c r="Y262" s="89"/>
    </row>
    <row r="263" spans="2:27" x14ac:dyDescent="0.25">
      <c r="C263" s="29" t="s">
        <v>1025</v>
      </c>
      <c r="F263" s="28"/>
      <c r="G263" s="28"/>
      <c r="J263" s="89"/>
      <c r="K263" s="89"/>
      <c r="L263" s="89"/>
      <c r="M263" s="89"/>
      <c r="N263" s="89"/>
      <c r="O263" s="89"/>
      <c r="P263" s="89"/>
      <c r="Q263" s="89"/>
      <c r="R263" s="89"/>
      <c r="S263" s="89"/>
      <c r="T263" s="89"/>
      <c r="U263" s="89"/>
      <c r="V263" s="89"/>
      <c r="W263" s="89"/>
      <c r="X263" s="89"/>
      <c r="Y263" s="89"/>
    </row>
    <row r="264" spans="2:27" x14ac:dyDescent="0.25">
      <c r="F264" s="28"/>
      <c r="G264" s="28"/>
      <c r="J264" s="89"/>
      <c r="K264" s="89"/>
      <c r="L264" s="89"/>
      <c r="M264" s="89"/>
      <c r="N264" s="89"/>
      <c r="O264" s="89"/>
      <c r="P264" s="89"/>
      <c r="Q264" s="89"/>
      <c r="R264" s="89"/>
      <c r="S264" s="89"/>
      <c r="T264" s="89"/>
      <c r="U264" s="89"/>
      <c r="V264" s="89"/>
      <c r="W264" s="89"/>
      <c r="X264" s="89"/>
      <c r="Y264" s="89"/>
    </row>
    <row r="265" spans="2:27" x14ac:dyDescent="0.25">
      <c r="C265" s="31" t="str">
        <f ca="1">INDEX('Version control'!$H$34:$H$57,MATCH($A$1,'Version control'!$F$34:$F$57,0),1)&amp;"-K: Load coefficient"</f>
        <v>Section 105-K: Load coefficient</v>
      </c>
      <c r="D265" s="31"/>
      <c r="E265" s="31"/>
      <c r="F265" s="31"/>
      <c r="G265" s="31"/>
      <c r="H265" s="31"/>
      <c r="I265" s="31"/>
      <c r="J265" s="90"/>
      <c r="K265" s="90"/>
      <c r="L265" s="90"/>
      <c r="M265" s="90"/>
      <c r="N265" s="90"/>
      <c r="O265" s="90"/>
      <c r="P265" s="90"/>
      <c r="Q265" s="90"/>
      <c r="R265" s="90"/>
      <c r="S265" s="90"/>
      <c r="T265" s="90"/>
      <c r="U265" s="90"/>
      <c r="V265" s="90"/>
      <c r="W265" s="90"/>
      <c r="X265" s="90"/>
      <c r="Y265" s="90"/>
      <c r="Z265" s="31"/>
      <c r="AA265" s="31"/>
    </row>
    <row r="266" spans="2:27" x14ac:dyDescent="0.25">
      <c r="F266" s="28"/>
      <c r="G266" s="28"/>
      <c r="J266" s="89"/>
      <c r="K266" s="89"/>
      <c r="L266" s="89"/>
      <c r="M266" s="89"/>
      <c r="N266" s="89"/>
      <c r="O266" s="89"/>
      <c r="P266" s="89"/>
      <c r="Q266" s="89"/>
      <c r="R266" s="89"/>
      <c r="S266" s="89"/>
      <c r="T266" s="89"/>
      <c r="U266" s="89"/>
      <c r="V266" s="89"/>
      <c r="W266" s="89"/>
      <c r="X266" s="89"/>
      <c r="Y266" s="89"/>
    </row>
    <row r="267" spans="2:27" x14ac:dyDescent="0.25">
      <c r="E267" s="28" t="s">
        <v>472</v>
      </c>
      <c r="G267" s="28" t="s">
        <v>283</v>
      </c>
      <c r="J267" s="121">
        <f>J89</f>
        <v>2.0934188731288632</v>
      </c>
      <c r="K267" s="121">
        <f t="shared" ref="K267:Y267" si="233">K89</f>
        <v>0</v>
      </c>
      <c r="L267" s="121">
        <f t="shared" si="233"/>
        <v>1.6648446705242654</v>
      </c>
      <c r="M267" s="121">
        <f t="shared" si="233"/>
        <v>0</v>
      </c>
      <c r="N267" s="121">
        <f t="shared" si="233"/>
        <v>1.3890708860735264</v>
      </c>
      <c r="O267" s="121">
        <f t="shared" si="233"/>
        <v>1.3904412843511615</v>
      </c>
      <c r="P267" s="121">
        <f t="shared" si="233"/>
        <v>1.1138804539870646</v>
      </c>
      <c r="Q267" s="121">
        <f t="shared" si="233"/>
        <v>1.9103917367909291</v>
      </c>
      <c r="R267" s="121">
        <f t="shared" si="233"/>
        <v>1</v>
      </c>
      <c r="S267" s="121">
        <f t="shared" si="233"/>
        <v>1</v>
      </c>
      <c r="T267" s="121">
        <f t="shared" si="233"/>
        <v>1</v>
      </c>
      <c r="U267" s="121">
        <f t="shared" si="233"/>
        <v>1</v>
      </c>
      <c r="V267" s="121">
        <f t="shared" si="233"/>
        <v>1</v>
      </c>
      <c r="W267" s="121">
        <f t="shared" si="233"/>
        <v>1</v>
      </c>
      <c r="X267" s="121">
        <f t="shared" si="233"/>
        <v>1</v>
      </c>
      <c r="Y267" s="121">
        <f t="shared" si="233"/>
        <v>1</v>
      </c>
    </row>
    <row r="268" spans="2:27" x14ac:dyDescent="0.25">
      <c r="F268" s="28"/>
      <c r="G268" s="28"/>
      <c r="J268" s="89"/>
      <c r="K268" s="89"/>
      <c r="L268" s="89"/>
      <c r="M268" s="89"/>
      <c r="N268" s="89"/>
      <c r="O268" s="89"/>
      <c r="P268" s="89"/>
      <c r="Q268" s="89"/>
      <c r="R268" s="89"/>
      <c r="S268" s="89"/>
      <c r="T268" s="89"/>
      <c r="U268" s="89"/>
      <c r="V268" s="89"/>
      <c r="W268" s="89"/>
      <c r="X268" s="89"/>
      <c r="Y268" s="89"/>
    </row>
    <row r="269" spans="2:27" x14ac:dyDescent="0.25">
      <c r="C269" s="31" t="str">
        <f ca="1">INDEX('Version control'!$H$34:$H$57,MATCH($A$1,'Version control'!$F$34:$F$57,0),1)&amp;"-L: Pseudo load coefficients, by unit rate"</f>
        <v>Section 105-L: Pseudo load coefficients, by unit rate</v>
      </c>
      <c r="D269" s="31"/>
      <c r="E269" s="31"/>
      <c r="F269" s="31"/>
      <c r="G269" s="31"/>
      <c r="H269" s="31"/>
      <c r="I269" s="31"/>
      <c r="J269" s="90"/>
      <c r="K269" s="90"/>
      <c r="L269" s="90"/>
      <c r="M269" s="90"/>
      <c r="N269" s="90"/>
      <c r="O269" s="90"/>
      <c r="P269" s="90"/>
      <c r="Q269" s="90"/>
      <c r="R269" s="90"/>
      <c r="S269" s="90"/>
      <c r="T269" s="90"/>
      <c r="U269" s="90"/>
      <c r="V269" s="90"/>
      <c r="W269" s="90"/>
      <c r="X269" s="90"/>
      <c r="Y269" s="90"/>
      <c r="Z269" s="31"/>
      <c r="AA269" s="31"/>
    </row>
    <row r="270" spans="2:27" x14ac:dyDescent="0.25">
      <c r="F270" s="28"/>
      <c r="G270" s="28"/>
      <c r="J270" s="89"/>
      <c r="K270" s="89"/>
      <c r="L270" s="89"/>
      <c r="M270" s="89"/>
      <c r="N270" s="89"/>
      <c r="O270" s="89"/>
      <c r="P270" s="89"/>
      <c r="Q270" s="89"/>
      <c r="R270" s="89"/>
      <c r="S270" s="89"/>
      <c r="T270" s="89"/>
      <c r="U270" s="89"/>
      <c r="V270" s="89"/>
      <c r="W270" s="89"/>
      <c r="X270" s="89"/>
      <c r="Y270" s="89"/>
    </row>
    <row r="271" spans="2:27" x14ac:dyDescent="0.25">
      <c r="E271" s="32" t="s">
        <v>156</v>
      </c>
      <c r="G271" s="28"/>
      <c r="J271" s="89"/>
      <c r="K271" s="89"/>
      <c r="L271" s="89"/>
      <c r="M271" s="89"/>
      <c r="N271" s="89"/>
      <c r="O271" s="89"/>
      <c r="P271" s="89"/>
      <c r="Q271" s="89"/>
      <c r="R271" s="89"/>
      <c r="S271" s="89"/>
      <c r="T271" s="89"/>
      <c r="U271" s="89"/>
      <c r="V271" s="89"/>
      <c r="W271" s="89"/>
      <c r="X271" s="89"/>
      <c r="Y271" s="89"/>
    </row>
    <row r="272" spans="2:27" x14ac:dyDescent="0.25">
      <c r="F272" s="64" t="s">
        <v>191</v>
      </c>
      <c r="G272" s="64" t="s">
        <v>283</v>
      </c>
      <c r="H272" s="23"/>
      <c r="I272" s="23"/>
      <c r="J272" s="101">
        <f>J229 * J$93</f>
        <v>16.002818503405528</v>
      </c>
      <c r="K272" s="101">
        <f t="shared" ref="K272:Y272" si="234">K229 * K$93</f>
        <v>16.002818503405528</v>
      </c>
      <c r="L272" s="101">
        <f t="shared" si="234"/>
        <v>13.862179208737285</v>
      </c>
      <c r="M272" s="101">
        <f t="shared" si="234"/>
        <v>13.862179208737285</v>
      </c>
      <c r="N272" s="101">
        <f t="shared" si="234"/>
        <v>11.784149480233719</v>
      </c>
      <c r="O272" s="101">
        <f t="shared" si="234"/>
        <v>10.841386472217369</v>
      </c>
      <c r="P272" s="101">
        <f t="shared" si="234"/>
        <v>9.875970399429038</v>
      </c>
      <c r="Q272" s="101">
        <f t="shared" si="234"/>
        <v>31.50593585154451</v>
      </c>
      <c r="R272" s="101">
        <f t="shared" si="234"/>
        <v>9.66398982153828</v>
      </c>
      <c r="S272" s="101">
        <f t="shared" si="234"/>
        <v>9.66398982153828</v>
      </c>
      <c r="T272" s="101">
        <f t="shared" si="234"/>
        <v>9.66398982153828</v>
      </c>
      <c r="U272" s="101">
        <f t="shared" si="234"/>
        <v>9.66398982153828</v>
      </c>
      <c r="V272" s="101">
        <f t="shared" si="234"/>
        <v>9.66398982153828</v>
      </c>
      <c r="W272" s="101">
        <f t="shared" si="234"/>
        <v>9.66398982153828</v>
      </c>
      <c r="X272" s="101">
        <f t="shared" si="234"/>
        <v>9.66398982153828</v>
      </c>
      <c r="Y272" s="101">
        <f t="shared" si="234"/>
        <v>9.66398982153828</v>
      </c>
    </row>
    <row r="273" spans="5:25" x14ac:dyDescent="0.25">
      <c r="F273" s="28" t="s">
        <v>192</v>
      </c>
      <c r="G273" s="28" t="s">
        <v>283</v>
      </c>
      <c r="J273" s="121">
        <f t="shared" ref="J273:Y273" si="235">J230 * J$93</f>
        <v>13.729062034241984</v>
      </c>
      <c r="K273" s="121">
        <f t="shared" si="235"/>
        <v>13.729062034241984</v>
      </c>
      <c r="L273" s="121">
        <f t="shared" si="235"/>
        <v>11.892574938972977</v>
      </c>
      <c r="M273" s="121">
        <f t="shared" si="235"/>
        <v>11.892574938972977</v>
      </c>
      <c r="N273" s="121">
        <f t="shared" si="235"/>
        <v>10.109801545301531</v>
      </c>
      <c r="O273" s="121">
        <f t="shared" si="235"/>
        <v>9.3009907837540826</v>
      </c>
      <c r="P273" s="121">
        <f t="shared" si="235"/>
        <v>8.472745612483493</v>
      </c>
      <c r="Q273" s="121">
        <f t="shared" si="235"/>
        <v>30.711180304554297</v>
      </c>
      <c r="R273" s="121">
        <f t="shared" si="235"/>
        <v>8.2908842420444451</v>
      </c>
      <c r="S273" s="121">
        <f t="shared" si="235"/>
        <v>8.2908842420444451</v>
      </c>
      <c r="T273" s="121">
        <f t="shared" si="235"/>
        <v>8.2908842420444451</v>
      </c>
      <c r="U273" s="121">
        <f t="shared" si="235"/>
        <v>8.2908842420444451</v>
      </c>
      <c r="V273" s="121">
        <f t="shared" si="235"/>
        <v>8.2908842420444451</v>
      </c>
      <c r="W273" s="121">
        <f t="shared" si="235"/>
        <v>8.2908842420444451</v>
      </c>
      <c r="X273" s="121">
        <f t="shared" si="235"/>
        <v>8.2908842420444451</v>
      </c>
      <c r="Y273" s="121">
        <f t="shared" si="235"/>
        <v>8.2908842420444451</v>
      </c>
    </row>
    <row r="274" spans="5:25" x14ac:dyDescent="0.25">
      <c r="F274" s="28" t="s">
        <v>193</v>
      </c>
      <c r="G274" s="28" t="s">
        <v>283</v>
      </c>
      <c r="J274" s="121">
        <f t="shared" ref="J274:Y274" si="236">J231 * J$93</f>
        <v>13.729062034241984</v>
      </c>
      <c r="K274" s="121">
        <f t="shared" si="236"/>
        <v>13.729062034241984</v>
      </c>
      <c r="L274" s="121">
        <f t="shared" si="236"/>
        <v>11.892574938972977</v>
      </c>
      <c r="M274" s="121">
        <f t="shared" si="236"/>
        <v>11.892574938972977</v>
      </c>
      <c r="N274" s="121">
        <f t="shared" si="236"/>
        <v>10.109801545301531</v>
      </c>
      <c r="O274" s="121">
        <f t="shared" si="236"/>
        <v>9.3009907837540826</v>
      </c>
      <c r="P274" s="121">
        <f t="shared" si="236"/>
        <v>8.472745612483493</v>
      </c>
      <c r="Q274" s="121">
        <f t="shared" si="236"/>
        <v>30.711180304554297</v>
      </c>
      <c r="R274" s="121">
        <f t="shared" si="236"/>
        <v>8.2908842420444451</v>
      </c>
      <c r="S274" s="121">
        <f t="shared" si="236"/>
        <v>8.2908842420444451</v>
      </c>
      <c r="T274" s="121">
        <f t="shared" si="236"/>
        <v>8.2908842420444451</v>
      </c>
      <c r="U274" s="121">
        <f t="shared" si="236"/>
        <v>8.2908842420444451</v>
      </c>
      <c r="V274" s="121">
        <f t="shared" si="236"/>
        <v>8.2908842420444451</v>
      </c>
      <c r="W274" s="121">
        <f t="shared" si="236"/>
        <v>8.2908842420444451</v>
      </c>
      <c r="X274" s="121">
        <f t="shared" si="236"/>
        <v>8.2908842420444451</v>
      </c>
      <c r="Y274" s="121">
        <f t="shared" si="236"/>
        <v>8.2908842420444451</v>
      </c>
    </row>
    <row r="275" spans="5:25" x14ac:dyDescent="0.25">
      <c r="F275" s="28" t="s">
        <v>194</v>
      </c>
      <c r="G275" s="28" t="s">
        <v>283</v>
      </c>
      <c r="J275" s="121">
        <f t="shared" ref="J275:Y275" si="237">J232 * J$93</f>
        <v>11.535806792422333</v>
      </c>
      <c r="K275" s="121">
        <f t="shared" si="237"/>
        <v>11.535806792422333</v>
      </c>
      <c r="L275" s="121">
        <f t="shared" si="237"/>
        <v>9.9927035378109643</v>
      </c>
      <c r="M275" s="121">
        <f t="shared" si="237"/>
        <v>9.9927035378109643</v>
      </c>
      <c r="N275" s="121">
        <f t="shared" si="237"/>
        <v>8.4947330739313927</v>
      </c>
      <c r="O275" s="121">
        <f t="shared" si="237"/>
        <v>7.8151320455747255</v>
      </c>
      <c r="P275" s="121">
        <f t="shared" si="237"/>
        <v>7.1192013076478204</v>
      </c>
      <c r="Q275" s="121">
        <f t="shared" si="237"/>
        <v>26.00604646517473</v>
      </c>
      <c r="R275" s="121">
        <f t="shared" si="237"/>
        <v>6.9663927889626018</v>
      </c>
      <c r="S275" s="121">
        <f t="shared" si="237"/>
        <v>6.9663927889626018</v>
      </c>
      <c r="T275" s="121">
        <f t="shared" si="237"/>
        <v>6.9663927889626018</v>
      </c>
      <c r="U275" s="121">
        <f t="shared" si="237"/>
        <v>6.9663927889626018</v>
      </c>
      <c r="V275" s="121">
        <f t="shared" si="237"/>
        <v>6.9663927889626018</v>
      </c>
      <c r="W275" s="121">
        <f t="shared" si="237"/>
        <v>6.9663927889626018</v>
      </c>
      <c r="X275" s="121">
        <f t="shared" si="237"/>
        <v>6.9663927889626018</v>
      </c>
      <c r="Y275" s="121">
        <f t="shared" si="237"/>
        <v>6.9663927889626018</v>
      </c>
    </row>
    <row r="276" spans="5:25" x14ac:dyDescent="0.25">
      <c r="F276" s="28" t="s">
        <v>195</v>
      </c>
      <c r="G276" s="28" t="s">
        <v>283</v>
      </c>
      <c r="J276" s="121">
        <f t="shared" ref="J276:Y276" si="238">J233 * J$93</f>
        <v>11.535806792422333</v>
      </c>
      <c r="K276" s="121">
        <f t="shared" si="238"/>
        <v>11.535806792422333</v>
      </c>
      <c r="L276" s="121">
        <f t="shared" si="238"/>
        <v>9.9927035378109643</v>
      </c>
      <c r="M276" s="121">
        <f t="shared" si="238"/>
        <v>9.9927035378109643</v>
      </c>
      <c r="N276" s="121">
        <f t="shared" si="238"/>
        <v>8.4947330739313927</v>
      </c>
      <c r="O276" s="121">
        <f t="shared" si="238"/>
        <v>7.8151320455747255</v>
      </c>
      <c r="P276" s="121">
        <f t="shared" si="238"/>
        <v>7.1192013076478204</v>
      </c>
      <c r="Q276" s="121">
        <f t="shared" si="238"/>
        <v>26.00604646517473</v>
      </c>
      <c r="R276" s="121">
        <f t="shared" si="238"/>
        <v>6.9663927889626018</v>
      </c>
      <c r="S276" s="121">
        <f t="shared" si="238"/>
        <v>6.9663927889626018</v>
      </c>
      <c r="T276" s="121">
        <f t="shared" si="238"/>
        <v>6.9663927889626018</v>
      </c>
      <c r="U276" s="121">
        <f t="shared" si="238"/>
        <v>6.9663927889626018</v>
      </c>
      <c r="V276" s="121">
        <f t="shared" si="238"/>
        <v>6.9663927889626018</v>
      </c>
      <c r="W276" s="121">
        <f t="shared" si="238"/>
        <v>6.9663927889626018</v>
      </c>
      <c r="X276" s="121">
        <f t="shared" si="238"/>
        <v>6.9663927889626018</v>
      </c>
      <c r="Y276" s="121">
        <f t="shared" si="238"/>
        <v>6.9663927889626018</v>
      </c>
    </row>
    <row r="277" spans="5:25" x14ac:dyDescent="0.25">
      <c r="F277" s="28" t="s">
        <v>196</v>
      </c>
      <c r="G277" s="28" t="s">
        <v>283</v>
      </c>
      <c r="J277" s="121">
        <f t="shared" ref="J277:Y277" si="239">J234 * J$93</f>
        <v>13.729062034241984</v>
      </c>
      <c r="K277" s="121">
        <f t="shared" si="239"/>
        <v>13.729062034241984</v>
      </c>
      <c r="L277" s="121">
        <f t="shared" si="239"/>
        <v>11.892574938972977</v>
      </c>
      <c r="M277" s="121">
        <f t="shared" si="239"/>
        <v>11.892574938972977</v>
      </c>
      <c r="N277" s="121">
        <f t="shared" si="239"/>
        <v>10.109801545301531</v>
      </c>
      <c r="O277" s="121">
        <f t="shared" si="239"/>
        <v>9.3009907837540826</v>
      </c>
      <c r="P277" s="121">
        <f t="shared" si="239"/>
        <v>8.472745612483493</v>
      </c>
      <c r="Q277" s="121">
        <f t="shared" si="239"/>
        <v>30.711180304554297</v>
      </c>
      <c r="R277" s="121">
        <f t="shared" si="239"/>
        <v>8.2908842420444451</v>
      </c>
      <c r="S277" s="121">
        <f t="shared" si="239"/>
        <v>8.2908842420444451</v>
      </c>
      <c r="T277" s="121">
        <f t="shared" si="239"/>
        <v>8.2908842420444451</v>
      </c>
      <c r="U277" s="121">
        <f t="shared" si="239"/>
        <v>8.2908842420444451</v>
      </c>
      <c r="V277" s="121">
        <f t="shared" si="239"/>
        <v>8.2908842420444451</v>
      </c>
      <c r="W277" s="121">
        <f t="shared" si="239"/>
        <v>8.2908842420444451</v>
      </c>
      <c r="X277" s="121">
        <f t="shared" si="239"/>
        <v>8.2908842420444451</v>
      </c>
      <c r="Y277" s="121">
        <f t="shared" si="239"/>
        <v>8.2908842420444451</v>
      </c>
    </row>
    <row r="278" spans="5:25" x14ac:dyDescent="0.25">
      <c r="F278" s="28" t="s">
        <v>197</v>
      </c>
      <c r="G278" s="28" t="s">
        <v>283</v>
      </c>
      <c r="J278" s="121">
        <f t="shared" ref="J278:Y278" si="240">J235 * J$93</f>
        <v>11.535806792422333</v>
      </c>
      <c r="K278" s="121">
        <f t="shared" si="240"/>
        <v>11.535806792422333</v>
      </c>
      <c r="L278" s="121">
        <f t="shared" si="240"/>
        <v>9.9927035378109643</v>
      </c>
      <c r="M278" s="121">
        <f t="shared" si="240"/>
        <v>9.9927035378109643</v>
      </c>
      <c r="N278" s="121">
        <f t="shared" si="240"/>
        <v>8.4947330739313927</v>
      </c>
      <c r="O278" s="121">
        <f t="shared" si="240"/>
        <v>7.8151320455747255</v>
      </c>
      <c r="P278" s="121">
        <f t="shared" si="240"/>
        <v>7.1192013076478204</v>
      </c>
      <c r="Q278" s="121">
        <f t="shared" si="240"/>
        <v>26.00604646517473</v>
      </c>
      <c r="R278" s="121">
        <f t="shared" si="240"/>
        <v>6.9663927889626018</v>
      </c>
      <c r="S278" s="121">
        <f t="shared" si="240"/>
        <v>6.9663927889626018</v>
      </c>
      <c r="T278" s="121">
        <f t="shared" si="240"/>
        <v>6.9663927889626018</v>
      </c>
      <c r="U278" s="121">
        <f t="shared" si="240"/>
        <v>6.9663927889626018</v>
      </c>
      <c r="V278" s="121">
        <f t="shared" si="240"/>
        <v>6.9663927889626018</v>
      </c>
      <c r="W278" s="121">
        <f t="shared" si="240"/>
        <v>6.9663927889626018</v>
      </c>
      <c r="X278" s="121">
        <f t="shared" si="240"/>
        <v>6.9663927889626018</v>
      </c>
      <c r="Y278" s="121">
        <f t="shared" si="240"/>
        <v>6.9663927889626018</v>
      </c>
    </row>
    <row r="279" spans="5:25" x14ac:dyDescent="0.25">
      <c r="F279" s="28" t="s">
        <v>198</v>
      </c>
      <c r="G279" s="28" t="s">
        <v>283</v>
      </c>
      <c r="J279" s="121">
        <f t="shared" ref="J279:Y279" si="241">J236 * J$93</f>
        <v>11.535806792422333</v>
      </c>
      <c r="K279" s="121">
        <f t="shared" si="241"/>
        <v>11.535806792422333</v>
      </c>
      <c r="L279" s="121">
        <f t="shared" si="241"/>
        <v>9.9927035378109643</v>
      </c>
      <c r="M279" s="121">
        <f t="shared" si="241"/>
        <v>9.9927035378109643</v>
      </c>
      <c r="N279" s="121">
        <f t="shared" si="241"/>
        <v>8.4947330739313927</v>
      </c>
      <c r="O279" s="121">
        <f t="shared" si="241"/>
        <v>7.8151320455747255</v>
      </c>
      <c r="P279" s="121">
        <f t="shared" si="241"/>
        <v>7.1192013076478204</v>
      </c>
      <c r="Q279" s="121">
        <f t="shared" si="241"/>
        <v>26.00604646517473</v>
      </c>
      <c r="R279" s="121">
        <f t="shared" si="241"/>
        <v>6.9663927889626018</v>
      </c>
      <c r="S279" s="121">
        <f t="shared" si="241"/>
        <v>6.9663927889626018</v>
      </c>
      <c r="T279" s="121">
        <f t="shared" si="241"/>
        <v>6.9663927889626018</v>
      </c>
      <c r="U279" s="121">
        <f t="shared" si="241"/>
        <v>6.9663927889626018</v>
      </c>
      <c r="V279" s="121">
        <f t="shared" si="241"/>
        <v>6.9663927889626018</v>
      </c>
      <c r="W279" s="121">
        <f t="shared" si="241"/>
        <v>6.9663927889626018</v>
      </c>
      <c r="X279" s="121">
        <f t="shared" si="241"/>
        <v>6.9663927889626018</v>
      </c>
      <c r="Y279" s="121">
        <f t="shared" si="241"/>
        <v>6.9663927889626018</v>
      </c>
    </row>
    <row r="280" spans="5:25" x14ac:dyDescent="0.25">
      <c r="F280" s="67" t="s">
        <v>199</v>
      </c>
      <c r="G280" s="67" t="s">
        <v>283</v>
      </c>
      <c r="H280" s="37"/>
      <c r="I280" s="37"/>
      <c r="J280" s="131">
        <f t="shared" ref="J280:Y280" si="242">J237 * J$93</f>
        <v>11.535806792422333</v>
      </c>
      <c r="K280" s="131">
        <f t="shared" si="242"/>
        <v>11.535806792422333</v>
      </c>
      <c r="L280" s="131">
        <f t="shared" si="242"/>
        <v>9.9927035378109643</v>
      </c>
      <c r="M280" s="131">
        <f t="shared" si="242"/>
        <v>9.9927035378109643</v>
      </c>
      <c r="N280" s="131">
        <f t="shared" si="242"/>
        <v>8.4947330739313927</v>
      </c>
      <c r="O280" s="131">
        <f t="shared" si="242"/>
        <v>7.8151320455747255</v>
      </c>
      <c r="P280" s="131">
        <f t="shared" si="242"/>
        <v>7.1192013076478204</v>
      </c>
      <c r="Q280" s="131">
        <f t="shared" si="242"/>
        <v>26.00604646517473</v>
      </c>
      <c r="R280" s="131">
        <f t="shared" si="242"/>
        <v>6.9663927889626018</v>
      </c>
      <c r="S280" s="131">
        <f t="shared" si="242"/>
        <v>6.9663927889626018</v>
      </c>
      <c r="T280" s="131">
        <f t="shared" si="242"/>
        <v>6.9663927889626018</v>
      </c>
      <c r="U280" s="131">
        <f t="shared" si="242"/>
        <v>6.9663927889626018</v>
      </c>
      <c r="V280" s="131">
        <f t="shared" si="242"/>
        <v>6.9663927889626018</v>
      </c>
      <c r="W280" s="131">
        <f t="shared" si="242"/>
        <v>6.9663927889626018</v>
      </c>
      <c r="X280" s="131">
        <f t="shared" si="242"/>
        <v>6.9663927889626018</v>
      </c>
      <c r="Y280" s="131">
        <f t="shared" si="242"/>
        <v>6.9663927889626018</v>
      </c>
    </row>
    <row r="281" spans="5:25" x14ac:dyDescent="0.25">
      <c r="J281" s="89"/>
      <c r="K281" s="89"/>
      <c r="L281" s="89"/>
      <c r="M281" s="89"/>
      <c r="N281" s="89"/>
      <c r="O281" s="89"/>
      <c r="P281" s="89"/>
      <c r="Q281" s="89"/>
      <c r="R281" s="89"/>
      <c r="S281" s="89"/>
      <c r="T281" s="89"/>
      <c r="U281" s="89"/>
      <c r="V281" s="89"/>
      <c r="W281" s="89"/>
      <c r="X281" s="89"/>
      <c r="Y281" s="89"/>
    </row>
    <row r="282" spans="5:25" x14ac:dyDescent="0.25">
      <c r="E282" s="32" t="s">
        <v>157</v>
      </c>
      <c r="F282" s="28"/>
      <c r="G282" s="28"/>
      <c r="J282" s="89"/>
      <c r="K282" s="89"/>
      <c r="L282" s="89"/>
      <c r="M282" s="89"/>
      <c r="N282" s="89"/>
      <c r="O282" s="89"/>
      <c r="P282" s="89"/>
      <c r="Q282" s="89"/>
      <c r="R282" s="89"/>
      <c r="S282" s="89"/>
      <c r="T282" s="89"/>
      <c r="U282" s="89"/>
      <c r="V282" s="89"/>
      <c r="W282" s="89"/>
      <c r="X282" s="89"/>
      <c r="Y282" s="89"/>
    </row>
    <row r="283" spans="5:25" x14ac:dyDescent="0.25">
      <c r="F283" s="64" t="s">
        <v>191</v>
      </c>
      <c r="G283" s="64" t="s">
        <v>283</v>
      </c>
      <c r="H283" s="23"/>
      <c r="I283" s="23"/>
      <c r="J283" s="101">
        <f>J240 * J$93</f>
        <v>0.7209175333780069</v>
      </c>
      <c r="K283" s="101">
        <f t="shared" ref="K283:Y283" si="243">K240 * K$93</f>
        <v>0.7209175333780069</v>
      </c>
      <c r="L283" s="101">
        <f t="shared" si="243"/>
        <v>0.62448299593475232</v>
      </c>
      <c r="M283" s="101">
        <f t="shared" si="243"/>
        <v>0.62448299593475232</v>
      </c>
      <c r="N283" s="101">
        <f t="shared" si="243"/>
        <v>0.5308689825132944</v>
      </c>
      <c r="O283" s="101">
        <f t="shared" si="243"/>
        <v>0.48839806514617307</v>
      </c>
      <c r="P283" s="101">
        <f t="shared" si="243"/>
        <v>0.4449066405743119</v>
      </c>
      <c r="Q283" s="101">
        <f t="shared" si="243"/>
        <v>0.91983030727230297</v>
      </c>
      <c r="R283" s="101">
        <f t="shared" si="243"/>
        <v>0.4353570405895012</v>
      </c>
      <c r="S283" s="101">
        <f t="shared" si="243"/>
        <v>0.4353570405895012</v>
      </c>
      <c r="T283" s="101">
        <f t="shared" si="243"/>
        <v>0.4353570405895012</v>
      </c>
      <c r="U283" s="101">
        <f t="shared" si="243"/>
        <v>0.4353570405895012</v>
      </c>
      <c r="V283" s="101">
        <f t="shared" si="243"/>
        <v>0.4353570405895012</v>
      </c>
      <c r="W283" s="101">
        <f t="shared" si="243"/>
        <v>0.4353570405895012</v>
      </c>
      <c r="X283" s="101">
        <f t="shared" si="243"/>
        <v>0.4353570405895012</v>
      </c>
      <c r="Y283" s="101">
        <f t="shared" si="243"/>
        <v>0.4353570405895012</v>
      </c>
    </row>
    <row r="284" spans="5:25" x14ac:dyDescent="0.25">
      <c r="F284" s="28" t="s">
        <v>192</v>
      </c>
      <c r="G284" s="28" t="s">
        <v>283</v>
      </c>
      <c r="J284" s="121">
        <f t="shared" ref="J284:Y284" si="244">J241 * J$93</f>
        <v>1.2605707266687587</v>
      </c>
      <c r="K284" s="121">
        <f t="shared" si="244"/>
        <v>1.2605707266687587</v>
      </c>
      <c r="L284" s="121">
        <f t="shared" si="244"/>
        <v>1.0919487285725233</v>
      </c>
      <c r="M284" s="121">
        <f t="shared" si="244"/>
        <v>1.0919487285725233</v>
      </c>
      <c r="N284" s="121">
        <f t="shared" si="244"/>
        <v>0.9282585983406787</v>
      </c>
      <c r="O284" s="121">
        <f t="shared" si="244"/>
        <v>0.85399546464090648</v>
      </c>
      <c r="P284" s="121">
        <f t="shared" si="244"/>
        <v>0.77794790838364436</v>
      </c>
      <c r="Q284" s="121">
        <f t="shared" si="244"/>
        <v>0.91178235291106546</v>
      </c>
      <c r="R284" s="121">
        <f t="shared" si="244"/>
        <v>0.76124981791573398</v>
      </c>
      <c r="S284" s="121">
        <f t="shared" si="244"/>
        <v>0.76124981791573398</v>
      </c>
      <c r="T284" s="121">
        <f t="shared" si="244"/>
        <v>0.76124981791573398</v>
      </c>
      <c r="U284" s="121">
        <f t="shared" si="244"/>
        <v>0.76124981791573398</v>
      </c>
      <c r="V284" s="121">
        <f t="shared" si="244"/>
        <v>0.76124981791573398</v>
      </c>
      <c r="W284" s="121">
        <f t="shared" si="244"/>
        <v>0.76124981791573398</v>
      </c>
      <c r="X284" s="121">
        <f t="shared" si="244"/>
        <v>0.76124981791573398</v>
      </c>
      <c r="Y284" s="121">
        <f t="shared" si="244"/>
        <v>0.76124981791573398</v>
      </c>
    </row>
    <row r="285" spans="5:25" x14ac:dyDescent="0.25">
      <c r="F285" s="28" t="s">
        <v>193</v>
      </c>
      <c r="G285" s="28" t="s">
        <v>283</v>
      </c>
      <c r="J285" s="121">
        <f t="shared" ref="J285:Y285" si="245">J242 * J$93</f>
        <v>1.2605707266687587</v>
      </c>
      <c r="K285" s="121">
        <f t="shared" si="245"/>
        <v>1.2605707266687587</v>
      </c>
      <c r="L285" s="121">
        <f t="shared" si="245"/>
        <v>1.0919487285725233</v>
      </c>
      <c r="M285" s="121">
        <f t="shared" si="245"/>
        <v>1.0919487285725233</v>
      </c>
      <c r="N285" s="121">
        <f t="shared" si="245"/>
        <v>0.9282585983406787</v>
      </c>
      <c r="O285" s="121">
        <f t="shared" si="245"/>
        <v>0.85399546464090648</v>
      </c>
      <c r="P285" s="121">
        <f t="shared" si="245"/>
        <v>0.77794790838364436</v>
      </c>
      <c r="Q285" s="121">
        <f t="shared" si="245"/>
        <v>0.91178235291106546</v>
      </c>
      <c r="R285" s="121">
        <f t="shared" si="245"/>
        <v>0.76124981791573398</v>
      </c>
      <c r="S285" s="121">
        <f t="shared" si="245"/>
        <v>0.76124981791573398</v>
      </c>
      <c r="T285" s="121">
        <f t="shared" si="245"/>
        <v>0.76124981791573398</v>
      </c>
      <c r="U285" s="121">
        <f t="shared" si="245"/>
        <v>0.76124981791573398</v>
      </c>
      <c r="V285" s="121">
        <f t="shared" si="245"/>
        <v>0.76124981791573398</v>
      </c>
      <c r="W285" s="121">
        <f t="shared" si="245"/>
        <v>0.76124981791573398</v>
      </c>
      <c r="X285" s="121">
        <f t="shared" si="245"/>
        <v>0.76124981791573398</v>
      </c>
      <c r="Y285" s="121">
        <f t="shared" si="245"/>
        <v>0.76124981791573398</v>
      </c>
    </row>
    <row r="286" spans="5:25" x14ac:dyDescent="0.25">
      <c r="F286" s="28" t="s">
        <v>194</v>
      </c>
      <c r="G286" s="28" t="s">
        <v>283</v>
      </c>
      <c r="J286" s="121">
        <f t="shared" ref="J286:Y286" si="246">J243 * J$93</f>
        <v>1.7658339101040399</v>
      </c>
      <c r="K286" s="121">
        <f t="shared" si="246"/>
        <v>1.7658339101040399</v>
      </c>
      <c r="L286" s="121">
        <f t="shared" si="246"/>
        <v>1.529624678897552</v>
      </c>
      <c r="M286" s="121">
        <f t="shared" si="246"/>
        <v>1.529624678897552</v>
      </c>
      <c r="N286" s="121">
        <f t="shared" si="246"/>
        <v>1.3003241116246682</v>
      </c>
      <c r="O286" s="121">
        <f t="shared" si="246"/>
        <v>1.1962947565212105</v>
      </c>
      <c r="P286" s="121">
        <f t="shared" si="246"/>
        <v>1.089765744877023</v>
      </c>
      <c r="Q286" s="121">
        <f t="shared" si="246"/>
        <v>1.2053493285703876</v>
      </c>
      <c r="R286" s="121">
        <f t="shared" si="246"/>
        <v>1.0663747095638818</v>
      </c>
      <c r="S286" s="121">
        <f t="shared" si="246"/>
        <v>1.0663747095638818</v>
      </c>
      <c r="T286" s="121">
        <f t="shared" si="246"/>
        <v>1.0663747095638818</v>
      </c>
      <c r="U286" s="121">
        <f t="shared" si="246"/>
        <v>1.0663747095638818</v>
      </c>
      <c r="V286" s="121">
        <f t="shared" si="246"/>
        <v>1.0663747095638818</v>
      </c>
      <c r="W286" s="121">
        <f t="shared" si="246"/>
        <v>1.0663747095638818</v>
      </c>
      <c r="X286" s="121">
        <f t="shared" si="246"/>
        <v>1.0663747095638818</v>
      </c>
      <c r="Y286" s="121">
        <f t="shared" si="246"/>
        <v>1.0663747095638818</v>
      </c>
    </row>
    <row r="287" spans="5:25" x14ac:dyDescent="0.25">
      <c r="F287" s="28" t="s">
        <v>195</v>
      </c>
      <c r="G287" s="28" t="s">
        <v>283</v>
      </c>
      <c r="J287" s="121">
        <f t="shared" ref="J287:Y287" si="247">J244 * J$93</f>
        <v>1.7658339101040399</v>
      </c>
      <c r="K287" s="121">
        <f t="shared" si="247"/>
        <v>1.7658339101040399</v>
      </c>
      <c r="L287" s="121">
        <f t="shared" si="247"/>
        <v>1.529624678897552</v>
      </c>
      <c r="M287" s="121">
        <f t="shared" si="247"/>
        <v>1.529624678897552</v>
      </c>
      <c r="N287" s="121">
        <f t="shared" si="247"/>
        <v>1.3003241116246682</v>
      </c>
      <c r="O287" s="121">
        <f t="shared" si="247"/>
        <v>1.1962947565212105</v>
      </c>
      <c r="P287" s="121">
        <f t="shared" si="247"/>
        <v>1.089765744877023</v>
      </c>
      <c r="Q287" s="121">
        <f t="shared" si="247"/>
        <v>1.2053493285703876</v>
      </c>
      <c r="R287" s="121">
        <f t="shared" si="247"/>
        <v>1.0663747095638818</v>
      </c>
      <c r="S287" s="121">
        <f t="shared" si="247"/>
        <v>1.0663747095638818</v>
      </c>
      <c r="T287" s="121">
        <f t="shared" si="247"/>
        <v>1.0663747095638818</v>
      </c>
      <c r="U287" s="121">
        <f t="shared" si="247"/>
        <v>1.0663747095638818</v>
      </c>
      <c r="V287" s="121">
        <f t="shared" si="247"/>
        <v>1.0663747095638818</v>
      </c>
      <c r="W287" s="121">
        <f t="shared" si="247"/>
        <v>1.0663747095638818</v>
      </c>
      <c r="X287" s="121">
        <f t="shared" si="247"/>
        <v>1.0663747095638818</v>
      </c>
      <c r="Y287" s="121">
        <f t="shared" si="247"/>
        <v>1.0663747095638818</v>
      </c>
    </row>
    <row r="288" spans="5:25" x14ac:dyDescent="0.25">
      <c r="F288" s="28" t="s">
        <v>196</v>
      </c>
      <c r="G288" s="28" t="s">
        <v>283</v>
      </c>
      <c r="J288" s="121">
        <f t="shared" ref="J288:Y288" si="248">J245 * J$93</f>
        <v>1.2605707266687587</v>
      </c>
      <c r="K288" s="121">
        <f t="shared" si="248"/>
        <v>1.2605707266687587</v>
      </c>
      <c r="L288" s="121">
        <f t="shared" si="248"/>
        <v>1.0919487285725233</v>
      </c>
      <c r="M288" s="121">
        <f t="shared" si="248"/>
        <v>1.0919487285725233</v>
      </c>
      <c r="N288" s="121">
        <f t="shared" si="248"/>
        <v>0.9282585983406787</v>
      </c>
      <c r="O288" s="121">
        <f t="shared" si="248"/>
        <v>0.85399546464090648</v>
      </c>
      <c r="P288" s="121">
        <f t="shared" si="248"/>
        <v>0.77794790838364436</v>
      </c>
      <c r="Q288" s="121">
        <f t="shared" si="248"/>
        <v>0.91178235291106546</v>
      </c>
      <c r="R288" s="121">
        <f t="shared" si="248"/>
        <v>0.76124981791573398</v>
      </c>
      <c r="S288" s="121">
        <f t="shared" si="248"/>
        <v>0.76124981791573398</v>
      </c>
      <c r="T288" s="121">
        <f t="shared" si="248"/>
        <v>0.76124981791573398</v>
      </c>
      <c r="U288" s="121">
        <f t="shared" si="248"/>
        <v>0.76124981791573398</v>
      </c>
      <c r="V288" s="121">
        <f t="shared" si="248"/>
        <v>0.76124981791573398</v>
      </c>
      <c r="W288" s="121">
        <f t="shared" si="248"/>
        <v>0.76124981791573398</v>
      </c>
      <c r="X288" s="121">
        <f t="shared" si="248"/>
        <v>0.76124981791573398</v>
      </c>
      <c r="Y288" s="121">
        <f t="shared" si="248"/>
        <v>0.76124981791573398</v>
      </c>
    </row>
    <row r="289" spans="2:27" x14ac:dyDescent="0.25">
      <c r="F289" s="28" t="s">
        <v>197</v>
      </c>
      <c r="G289" s="28" t="s">
        <v>283</v>
      </c>
      <c r="J289" s="121">
        <f t="shared" ref="J289:Y289" si="249">J246 * J$93</f>
        <v>1.7658339101040399</v>
      </c>
      <c r="K289" s="121">
        <f t="shared" si="249"/>
        <v>1.7658339101040399</v>
      </c>
      <c r="L289" s="121">
        <f t="shared" si="249"/>
        <v>1.529624678897552</v>
      </c>
      <c r="M289" s="121">
        <f t="shared" si="249"/>
        <v>1.529624678897552</v>
      </c>
      <c r="N289" s="121">
        <f t="shared" si="249"/>
        <v>1.3003241116246682</v>
      </c>
      <c r="O289" s="121">
        <f t="shared" si="249"/>
        <v>1.1962947565212105</v>
      </c>
      <c r="P289" s="121">
        <f t="shared" si="249"/>
        <v>1.089765744877023</v>
      </c>
      <c r="Q289" s="121">
        <f t="shared" si="249"/>
        <v>1.2053493285703876</v>
      </c>
      <c r="R289" s="121">
        <f t="shared" si="249"/>
        <v>1.0663747095638818</v>
      </c>
      <c r="S289" s="121">
        <f t="shared" si="249"/>
        <v>1.0663747095638818</v>
      </c>
      <c r="T289" s="121">
        <f t="shared" si="249"/>
        <v>1.0663747095638818</v>
      </c>
      <c r="U289" s="121">
        <f t="shared" si="249"/>
        <v>1.0663747095638818</v>
      </c>
      <c r="V289" s="121">
        <f t="shared" si="249"/>
        <v>1.0663747095638818</v>
      </c>
      <c r="W289" s="121">
        <f t="shared" si="249"/>
        <v>1.0663747095638818</v>
      </c>
      <c r="X289" s="121">
        <f t="shared" si="249"/>
        <v>1.0663747095638818</v>
      </c>
      <c r="Y289" s="121">
        <f t="shared" si="249"/>
        <v>1.0663747095638818</v>
      </c>
    </row>
    <row r="290" spans="2:27" x14ac:dyDescent="0.25">
      <c r="F290" s="28" t="s">
        <v>198</v>
      </c>
      <c r="G290" s="28" t="s">
        <v>283</v>
      </c>
      <c r="J290" s="121">
        <f t="shared" ref="J290:Y290" si="250">J247 * J$93</f>
        <v>1.7658339101040399</v>
      </c>
      <c r="K290" s="121">
        <f t="shared" si="250"/>
        <v>1.7658339101040399</v>
      </c>
      <c r="L290" s="121">
        <f t="shared" si="250"/>
        <v>1.529624678897552</v>
      </c>
      <c r="M290" s="121">
        <f t="shared" si="250"/>
        <v>1.529624678897552</v>
      </c>
      <c r="N290" s="121">
        <f t="shared" si="250"/>
        <v>1.3003241116246682</v>
      </c>
      <c r="O290" s="121">
        <f t="shared" si="250"/>
        <v>1.1962947565212105</v>
      </c>
      <c r="P290" s="121">
        <f t="shared" si="250"/>
        <v>1.089765744877023</v>
      </c>
      <c r="Q290" s="121">
        <f t="shared" si="250"/>
        <v>1.2053493285703876</v>
      </c>
      <c r="R290" s="121">
        <f t="shared" si="250"/>
        <v>1.0663747095638818</v>
      </c>
      <c r="S290" s="121">
        <f t="shared" si="250"/>
        <v>1.0663747095638818</v>
      </c>
      <c r="T290" s="121">
        <f t="shared" si="250"/>
        <v>1.0663747095638818</v>
      </c>
      <c r="U290" s="121">
        <f t="shared" si="250"/>
        <v>1.0663747095638818</v>
      </c>
      <c r="V290" s="121">
        <f t="shared" si="250"/>
        <v>1.0663747095638818</v>
      </c>
      <c r="W290" s="121">
        <f t="shared" si="250"/>
        <v>1.0663747095638818</v>
      </c>
      <c r="X290" s="121">
        <f t="shared" si="250"/>
        <v>1.0663747095638818</v>
      </c>
      <c r="Y290" s="121">
        <f t="shared" si="250"/>
        <v>1.0663747095638818</v>
      </c>
    </row>
    <row r="291" spans="2:27" x14ac:dyDescent="0.25">
      <c r="F291" s="67" t="s">
        <v>199</v>
      </c>
      <c r="G291" s="67" t="s">
        <v>283</v>
      </c>
      <c r="H291" s="37"/>
      <c r="I291" s="37"/>
      <c r="J291" s="131">
        <f t="shared" ref="J291:Y291" si="251">J248 * J$93</f>
        <v>1.7658339101040399</v>
      </c>
      <c r="K291" s="131">
        <f t="shared" si="251"/>
        <v>1.7658339101040399</v>
      </c>
      <c r="L291" s="131">
        <f t="shared" si="251"/>
        <v>1.529624678897552</v>
      </c>
      <c r="M291" s="131">
        <f t="shared" si="251"/>
        <v>1.529624678897552</v>
      </c>
      <c r="N291" s="131">
        <f t="shared" si="251"/>
        <v>1.3003241116246682</v>
      </c>
      <c r="O291" s="131">
        <f t="shared" si="251"/>
        <v>1.1962947565212105</v>
      </c>
      <c r="P291" s="131">
        <f t="shared" si="251"/>
        <v>1.089765744877023</v>
      </c>
      <c r="Q291" s="131">
        <f t="shared" si="251"/>
        <v>1.2053493285703876</v>
      </c>
      <c r="R291" s="131">
        <f t="shared" si="251"/>
        <v>1.0663747095638818</v>
      </c>
      <c r="S291" s="131">
        <f t="shared" si="251"/>
        <v>1.0663747095638818</v>
      </c>
      <c r="T291" s="131">
        <f t="shared" si="251"/>
        <v>1.0663747095638818</v>
      </c>
      <c r="U291" s="131">
        <f t="shared" si="251"/>
        <v>1.0663747095638818</v>
      </c>
      <c r="V291" s="131">
        <f t="shared" si="251"/>
        <v>1.0663747095638818</v>
      </c>
      <c r="W291" s="131">
        <f t="shared" si="251"/>
        <v>1.0663747095638818</v>
      </c>
      <c r="X291" s="131">
        <f t="shared" si="251"/>
        <v>1.0663747095638818</v>
      </c>
      <c r="Y291" s="131">
        <f t="shared" si="251"/>
        <v>1.0663747095638818</v>
      </c>
    </row>
    <row r="292" spans="2:27" x14ac:dyDescent="0.25">
      <c r="J292" s="89"/>
      <c r="K292" s="89"/>
      <c r="L292" s="89"/>
      <c r="M292" s="89"/>
      <c r="N292" s="89"/>
      <c r="O292" s="89"/>
      <c r="P292" s="89"/>
      <c r="Q292" s="89"/>
      <c r="R292" s="89"/>
      <c r="S292" s="89"/>
      <c r="T292" s="89"/>
      <c r="U292" s="89"/>
      <c r="V292" s="89"/>
      <c r="W292" s="89"/>
      <c r="X292" s="89"/>
      <c r="Y292" s="89"/>
    </row>
    <row r="293" spans="2:27" x14ac:dyDescent="0.25">
      <c r="E293" s="32" t="s">
        <v>158</v>
      </c>
      <c r="F293" s="28"/>
      <c r="G293" s="28"/>
      <c r="J293" s="89"/>
      <c r="K293" s="89"/>
      <c r="L293" s="89"/>
      <c r="M293" s="89"/>
      <c r="N293" s="89"/>
      <c r="O293" s="89"/>
      <c r="P293" s="89"/>
      <c r="Q293" s="89"/>
      <c r="R293" s="89"/>
      <c r="S293" s="89"/>
      <c r="T293" s="89"/>
      <c r="U293" s="89"/>
      <c r="V293" s="89"/>
      <c r="W293" s="89"/>
      <c r="X293" s="89"/>
      <c r="Y293" s="89"/>
    </row>
    <row r="294" spans="2:27" x14ac:dyDescent="0.25">
      <c r="F294" s="64" t="s">
        <v>191</v>
      </c>
      <c r="G294" s="64" t="s">
        <v>283</v>
      </c>
      <c r="H294" s="23"/>
      <c r="I294" s="23"/>
      <c r="J294" s="101">
        <f>J251 * J$93</f>
        <v>0</v>
      </c>
      <c r="K294" s="101">
        <f t="shared" ref="K294:Y294" si="252">K251 * K$93</f>
        <v>0</v>
      </c>
      <c r="L294" s="101">
        <f t="shared" si="252"/>
        <v>0</v>
      </c>
      <c r="M294" s="101">
        <f t="shared" si="252"/>
        <v>0</v>
      </c>
      <c r="N294" s="101">
        <f t="shared" si="252"/>
        <v>0</v>
      </c>
      <c r="O294" s="101">
        <f t="shared" si="252"/>
        <v>0</v>
      </c>
      <c r="P294" s="101">
        <f t="shared" si="252"/>
        <v>0</v>
      </c>
      <c r="Q294" s="101">
        <f t="shared" si="252"/>
        <v>0</v>
      </c>
      <c r="R294" s="101">
        <f t="shared" si="252"/>
        <v>0</v>
      </c>
      <c r="S294" s="101">
        <f t="shared" si="252"/>
        <v>0</v>
      </c>
      <c r="T294" s="101">
        <f t="shared" si="252"/>
        <v>0</v>
      </c>
      <c r="U294" s="101">
        <f t="shared" si="252"/>
        <v>0</v>
      </c>
      <c r="V294" s="101">
        <f t="shared" si="252"/>
        <v>0</v>
      </c>
      <c r="W294" s="101">
        <f t="shared" si="252"/>
        <v>0</v>
      </c>
      <c r="X294" s="101">
        <f t="shared" si="252"/>
        <v>0</v>
      </c>
      <c r="Y294" s="101">
        <f t="shared" si="252"/>
        <v>0</v>
      </c>
    </row>
    <row r="295" spans="2:27" x14ac:dyDescent="0.25">
      <c r="F295" s="28" t="s">
        <v>192</v>
      </c>
      <c r="G295" s="28" t="s">
        <v>283</v>
      </c>
      <c r="J295" s="121">
        <f t="shared" ref="J295:Y295" si="253">J252 * J$93</f>
        <v>5.7563590020385365E-2</v>
      </c>
      <c r="K295" s="121">
        <f t="shared" si="253"/>
        <v>5.7563590020385365E-2</v>
      </c>
      <c r="L295" s="121">
        <f t="shared" si="253"/>
        <v>4.9863516266903316E-2</v>
      </c>
      <c r="M295" s="121">
        <f t="shared" si="253"/>
        <v>4.9863516266903316E-2</v>
      </c>
      <c r="N295" s="121">
        <f t="shared" si="253"/>
        <v>4.2388654803199526E-2</v>
      </c>
      <c r="O295" s="121">
        <f t="shared" si="253"/>
        <v>3.8997450730723818E-2</v>
      </c>
      <c r="P295" s="121">
        <f t="shared" si="253"/>
        <v>3.5524761529052769E-2</v>
      </c>
      <c r="Q295" s="121">
        <f t="shared" si="253"/>
        <v>4.4175981302415214E-2</v>
      </c>
      <c r="R295" s="121">
        <f t="shared" si="253"/>
        <v>3.4762248158336784E-2</v>
      </c>
      <c r="S295" s="121">
        <f t="shared" si="253"/>
        <v>3.4762248158336784E-2</v>
      </c>
      <c r="T295" s="121">
        <f t="shared" si="253"/>
        <v>3.4762248158336784E-2</v>
      </c>
      <c r="U295" s="121">
        <f t="shared" si="253"/>
        <v>3.4762248158336784E-2</v>
      </c>
      <c r="V295" s="121">
        <f t="shared" si="253"/>
        <v>3.4762248158336784E-2</v>
      </c>
      <c r="W295" s="121">
        <f t="shared" si="253"/>
        <v>3.4762248158336784E-2</v>
      </c>
      <c r="X295" s="121">
        <f t="shared" si="253"/>
        <v>3.4762248158336784E-2</v>
      </c>
      <c r="Y295" s="121">
        <f t="shared" si="253"/>
        <v>3.4762248158336784E-2</v>
      </c>
    </row>
    <row r="296" spans="2:27" x14ac:dyDescent="0.25">
      <c r="F296" s="28" t="s">
        <v>193</v>
      </c>
      <c r="G296" s="28" t="s">
        <v>283</v>
      </c>
      <c r="J296" s="121">
        <f t="shared" ref="J296:Y296" si="254">J253 * J$93</f>
        <v>5.7563590020385365E-2</v>
      </c>
      <c r="K296" s="121">
        <f t="shared" si="254"/>
        <v>5.7563590020385365E-2</v>
      </c>
      <c r="L296" s="121">
        <f t="shared" si="254"/>
        <v>4.9863516266903316E-2</v>
      </c>
      <c r="M296" s="121">
        <f t="shared" si="254"/>
        <v>4.9863516266903316E-2</v>
      </c>
      <c r="N296" s="121">
        <f t="shared" si="254"/>
        <v>4.2388654803199526E-2</v>
      </c>
      <c r="O296" s="121">
        <f t="shared" si="254"/>
        <v>3.8997450730723818E-2</v>
      </c>
      <c r="P296" s="121">
        <f t="shared" si="254"/>
        <v>3.5524761529052769E-2</v>
      </c>
      <c r="Q296" s="121">
        <f t="shared" si="254"/>
        <v>4.4175981302415214E-2</v>
      </c>
      <c r="R296" s="121">
        <f t="shared" si="254"/>
        <v>3.4762248158336784E-2</v>
      </c>
      <c r="S296" s="121">
        <f t="shared" si="254"/>
        <v>3.4762248158336784E-2</v>
      </c>
      <c r="T296" s="121">
        <f t="shared" si="254"/>
        <v>3.4762248158336784E-2</v>
      </c>
      <c r="U296" s="121">
        <f t="shared" si="254"/>
        <v>3.4762248158336784E-2</v>
      </c>
      <c r="V296" s="121">
        <f t="shared" si="254"/>
        <v>3.4762248158336784E-2</v>
      </c>
      <c r="W296" s="121">
        <f t="shared" si="254"/>
        <v>3.4762248158336784E-2</v>
      </c>
      <c r="X296" s="121">
        <f t="shared" si="254"/>
        <v>3.4762248158336784E-2</v>
      </c>
      <c r="Y296" s="121">
        <f t="shared" si="254"/>
        <v>3.4762248158336784E-2</v>
      </c>
    </row>
    <row r="297" spans="2:27" x14ac:dyDescent="0.25">
      <c r="F297" s="28" t="s">
        <v>194</v>
      </c>
      <c r="G297" s="28" t="s">
        <v>283</v>
      </c>
      <c r="J297" s="121">
        <f t="shared" ref="J297:Y297" si="255">J254 * J$93</f>
        <v>0.12108790972637158</v>
      </c>
      <c r="K297" s="121">
        <f t="shared" si="255"/>
        <v>0.12108790972637158</v>
      </c>
      <c r="L297" s="121">
        <f t="shared" si="255"/>
        <v>0.10489041691506767</v>
      </c>
      <c r="M297" s="121">
        <f t="shared" si="255"/>
        <v>0.10489041691506767</v>
      </c>
      <c r="N297" s="121">
        <f t="shared" si="255"/>
        <v>8.9166669493936299E-2</v>
      </c>
      <c r="O297" s="121">
        <f t="shared" si="255"/>
        <v>8.2033100992628061E-2</v>
      </c>
      <c r="P297" s="121">
        <f t="shared" si="255"/>
        <v>7.4728124419575992E-2</v>
      </c>
      <c r="Q297" s="121">
        <f t="shared" si="255"/>
        <v>9.2926400770459147E-2</v>
      </c>
      <c r="R297" s="121">
        <f t="shared" si="255"/>
        <v>7.3124139154485485E-2</v>
      </c>
      <c r="S297" s="121">
        <f t="shared" si="255"/>
        <v>7.3124139154485485E-2</v>
      </c>
      <c r="T297" s="121">
        <f t="shared" si="255"/>
        <v>7.3124139154485485E-2</v>
      </c>
      <c r="U297" s="121">
        <f t="shared" si="255"/>
        <v>7.3124139154485485E-2</v>
      </c>
      <c r="V297" s="121">
        <f t="shared" si="255"/>
        <v>7.3124139154485485E-2</v>
      </c>
      <c r="W297" s="121">
        <f t="shared" si="255"/>
        <v>7.3124139154485485E-2</v>
      </c>
      <c r="X297" s="121">
        <f t="shared" si="255"/>
        <v>7.3124139154485485E-2</v>
      </c>
      <c r="Y297" s="121">
        <f t="shared" si="255"/>
        <v>7.3124139154485485E-2</v>
      </c>
    </row>
    <row r="298" spans="2:27" x14ac:dyDescent="0.25">
      <c r="F298" s="28" t="s">
        <v>195</v>
      </c>
      <c r="G298" s="28" t="s">
        <v>283</v>
      </c>
      <c r="J298" s="121">
        <f t="shared" ref="J298:Y298" si="256">J255 * J$93</f>
        <v>0.12108790972637158</v>
      </c>
      <c r="K298" s="121">
        <f t="shared" si="256"/>
        <v>0.12108790972637158</v>
      </c>
      <c r="L298" s="121">
        <f t="shared" si="256"/>
        <v>0.10489041691506767</v>
      </c>
      <c r="M298" s="121">
        <f t="shared" si="256"/>
        <v>0.10489041691506767</v>
      </c>
      <c r="N298" s="121">
        <f t="shared" si="256"/>
        <v>8.9166669493936299E-2</v>
      </c>
      <c r="O298" s="121">
        <f t="shared" si="256"/>
        <v>8.2033100992628061E-2</v>
      </c>
      <c r="P298" s="121">
        <f t="shared" si="256"/>
        <v>7.4728124419575992E-2</v>
      </c>
      <c r="Q298" s="121">
        <f t="shared" si="256"/>
        <v>9.2926400770459147E-2</v>
      </c>
      <c r="R298" s="121">
        <f t="shared" si="256"/>
        <v>7.3124139154485485E-2</v>
      </c>
      <c r="S298" s="121">
        <f t="shared" si="256"/>
        <v>7.3124139154485485E-2</v>
      </c>
      <c r="T298" s="121">
        <f t="shared" si="256"/>
        <v>7.3124139154485485E-2</v>
      </c>
      <c r="U298" s="121">
        <f t="shared" si="256"/>
        <v>7.3124139154485485E-2</v>
      </c>
      <c r="V298" s="121">
        <f t="shared" si="256"/>
        <v>7.3124139154485485E-2</v>
      </c>
      <c r="W298" s="121">
        <f t="shared" si="256"/>
        <v>7.3124139154485485E-2</v>
      </c>
      <c r="X298" s="121">
        <f t="shared" si="256"/>
        <v>7.3124139154485485E-2</v>
      </c>
      <c r="Y298" s="121">
        <f t="shared" si="256"/>
        <v>7.3124139154485485E-2</v>
      </c>
    </row>
    <row r="299" spans="2:27" x14ac:dyDescent="0.25">
      <c r="F299" s="28" t="s">
        <v>196</v>
      </c>
      <c r="G299" s="28" t="s">
        <v>283</v>
      </c>
      <c r="J299" s="121">
        <f t="shared" ref="J299:Y299" si="257">J256 * J$93</f>
        <v>5.7563590020385365E-2</v>
      </c>
      <c r="K299" s="121">
        <f t="shared" si="257"/>
        <v>5.7563590020385365E-2</v>
      </c>
      <c r="L299" s="121">
        <f t="shared" si="257"/>
        <v>4.9863516266903316E-2</v>
      </c>
      <c r="M299" s="121">
        <f t="shared" si="257"/>
        <v>4.9863516266903316E-2</v>
      </c>
      <c r="N299" s="121">
        <f t="shared" si="257"/>
        <v>4.2388654803199526E-2</v>
      </c>
      <c r="O299" s="121">
        <f t="shared" si="257"/>
        <v>3.8997450730723818E-2</v>
      </c>
      <c r="P299" s="121">
        <f t="shared" si="257"/>
        <v>3.5524761529052769E-2</v>
      </c>
      <c r="Q299" s="121">
        <f t="shared" si="257"/>
        <v>4.4175981302415214E-2</v>
      </c>
      <c r="R299" s="121">
        <f t="shared" si="257"/>
        <v>3.4762248158336784E-2</v>
      </c>
      <c r="S299" s="121">
        <f t="shared" si="257"/>
        <v>3.4762248158336784E-2</v>
      </c>
      <c r="T299" s="121">
        <f t="shared" si="257"/>
        <v>3.4762248158336784E-2</v>
      </c>
      <c r="U299" s="121">
        <f t="shared" si="257"/>
        <v>3.4762248158336784E-2</v>
      </c>
      <c r="V299" s="121">
        <f t="shared" si="257"/>
        <v>3.4762248158336784E-2</v>
      </c>
      <c r="W299" s="121">
        <f t="shared" si="257"/>
        <v>3.4762248158336784E-2</v>
      </c>
      <c r="X299" s="121">
        <f t="shared" si="257"/>
        <v>3.4762248158336784E-2</v>
      </c>
      <c r="Y299" s="121">
        <f t="shared" si="257"/>
        <v>3.4762248158336784E-2</v>
      </c>
    </row>
    <row r="300" spans="2:27" x14ac:dyDescent="0.25">
      <c r="F300" s="28" t="s">
        <v>197</v>
      </c>
      <c r="G300" s="28" t="s">
        <v>283</v>
      </c>
      <c r="J300" s="121">
        <f t="shared" ref="J300:Y300" si="258">J257 * J$93</f>
        <v>0.12108790972637158</v>
      </c>
      <c r="K300" s="121">
        <f t="shared" si="258"/>
        <v>0.12108790972637158</v>
      </c>
      <c r="L300" s="121">
        <f t="shared" si="258"/>
        <v>0.10489041691506767</v>
      </c>
      <c r="M300" s="121">
        <f t="shared" si="258"/>
        <v>0.10489041691506767</v>
      </c>
      <c r="N300" s="121">
        <f t="shared" si="258"/>
        <v>8.9166669493936299E-2</v>
      </c>
      <c r="O300" s="121">
        <f t="shared" si="258"/>
        <v>8.2033100992628061E-2</v>
      </c>
      <c r="P300" s="121">
        <f t="shared" si="258"/>
        <v>7.4728124419575992E-2</v>
      </c>
      <c r="Q300" s="121">
        <f t="shared" si="258"/>
        <v>9.2926400770459147E-2</v>
      </c>
      <c r="R300" s="121">
        <f t="shared" si="258"/>
        <v>7.3124139154485485E-2</v>
      </c>
      <c r="S300" s="121">
        <f t="shared" si="258"/>
        <v>7.3124139154485485E-2</v>
      </c>
      <c r="T300" s="121">
        <f t="shared" si="258"/>
        <v>7.3124139154485485E-2</v>
      </c>
      <c r="U300" s="121">
        <f t="shared" si="258"/>
        <v>7.3124139154485485E-2</v>
      </c>
      <c r="V300" s="121">
        <f t="shared" si="258"/>
        <v>7.3124139154485485E-2</v>
      </c>
      <c r="W300" s="121">
        <f t="shared" si="258"/>
        <v>7.3124139154485485E-2</v>
      </c>
      <c r="X300" s="121">
        <f t="shared" si="258"/>
        <v>7.3124139154485485E-2</v>
      </c>
      <c r="Y300" s="121">
        <f t="shared" si="258"/>
        <v>7.3124139154485485E-2</v>
      </c>
    </row>
    <row r="301" spans="2:27" x14ac:dyDescent="0.25">
      <c r="F301" s="28" t="s">
        <v>198</v>
      </c>
      <c r="G301" s="28" t="s">
        <v>283</v>
      </c>
      <c r="J301" s="121">
        <f t="shared" ref="J301:Y301" si="259">J258 * J$93</f>
        <v>0.12108790972637158</v>
      </c>
      <c r="K301" s="121">
        <f t="shared" si="259"/>
        <v>0.12108790972637158</v>
      </c>
      <c r="L301" s="121">
        <f t="shared" si="259"/>
        <v>0.10489041691506767</v>
      </c>
      <c r="M301" s="121">
        <f t="shared" si="259"/>
        <v>0.10489041691506767</v>
      </c>
      <c r="N301" s="121">
        <f t="shared" si="259"/>
        <v>8.9166669493936299E-2</v>
      </c>
      <c r="O301" s="121">
        <f t="shared" si="259"/>
        <v>8.2033100992628061E-2</v>
      </c>
      <c r="P301" s="121">
        <f t="shared" si="259"/>
        <v>7.4728124419575992E-2</v>
      </c>
      <c r="Q301" s="121">
        <f t="shared" si="259"/>
        <v>9.2926400770459147E-2</v>
      </c>
      <c r="R301" s="121">
        <f t="shared" si="259"/>
        <v>7.3124139154485485E-2</v>
      </c>
      <c r="S301" s="121">
        <f t="shared" si="259"/>
        <v>7.3124139154485485E-2</v>
      </c>
      <c r="T301" s="121">
        <f t="shared" si="259"/>
        <v>7.3124139154485485E-2</v>
      </c>
      <c r="U301" s="121">
        <f t="shared" si="259"/>
        <v>7.3124139154485485E-2</v>
      </c>
      <c r="V301" s="121">
        <f t="shared" si="259"/>
        <v>7.3124139154485485E-2</v>
      </c>
      <c r="W301" s="121">
        <f t="shared" si="259"/>
        <v>7.3124139154485485E-2</v>
      </c>
      <c r="X301" s="121">
        <f t="shared" si="259"/>
        <v>7.3124139154485485E-2</v>
      </c>
      <c r="Y301" s="121">
        <f t="shared" si="259"/>
        <v>7.3124139154485485E-2</v>
      </c>
    </row>
    <row r="302" spans="2:27" x14ac:dyDescent="0.25">
      <c r="F302" s="67" t="s">
        <v>199</v>
      </c>
      <c r="G302" s="67" t="s">
        <v>283</v>
      </c>
      <c r="H302" s="37"/>
      <c r="I302" s="37"/>
      <c r="J302" s="131">
        <f t="shared" ref="J302:Y302" si="260">J259 * J$93</f>
        <v>0.12108790972637158</v>
      </c>
      <c r="K302" s="131">
        <f t="shared" si="260"/>
        <v>0.12108790972637158</v>
      </c>
      <c r="L302" s="131">
        <f t="shared" si="260"/>
        <v>0.10489041691506767</v>
      </c>
      <c r="M302" s="131">
        <f t="shared" si="260"/>
        <v>0.10489041691506767</v>
      </c>
      <c r="N302" s="131">
        <f t="shared" si="260"/>
        <v>8.9166669493936299E-2</v>
      </c>
      <c r="O302" s="131">
        <f t="shared" si="260"/>
        <v>8.2033100992628061E-2</v>
      </c>
      <c r="P302" s="131">
        <f t="shared" si="260"/>
        <v>7.4728124419575992E-2</v>
      </c>
      <c r="Q302" s="131">
        <f t="shared" si="260"/>
        <v>9.2926400770459147E-2</v>
      </c>
      <c r="R302" s="131">
        <f t="shared" si="260"/>
        <v>7.3124139154485485E-2</v>
      </c>
      <c r="S302" s="131">
        <f t="shared" si="260"/>
        <v>7.3124139154485485E-2</v>
      </c>
      <c r="T302" s="131">
        <f t="shared" si="260"/>
        <v>7.3124139154485485E-2</v>
      </c>
      <c r="U302" s="131">
        <f t="shared" si="260"/>
        <v>7.3124139154485485E-2</v>
      </c>
      <c r="V302" s="131">
        <f t="shared" si="260"/>
        <v>7.3124139154485485E-2</v>
      </c>
      <c r="W302" s="131">
        <f t="shared" si="260"/>
        <v>7.3124139154485485E-2</v>
      </c>
      <c r="X302" s="131">
        <f t="shared" si="260"/>
        <v>7.3124139154485485E-2</v>
      </c>
      <c r="Y302" s="131">
        <f t="shared" si="260"/>
        <v>7.3124139154485485E-2</v>
      </c>
    </row>
    <row r="304" spans="2:27" x14ac:dyDescent="0.25">
      <c r="B304" s="30" t="s">
        <v>231</v>
      </c>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row>
    <row r="306" spans="2:27" x14ac:dyDescent="0.25">
      <c r="E306" t="s">
        <v>232</v>
      </c>
      <c r="G306" s="6" t="s">
        <v>55</v>
      </c>
      <c r="H306" s="26">
        <f t="array" ref="H306">SUM(IF(ISERROR(H20:Y302), 1))</f>
        <v>0</v>
      </c>
    </row>
    <row r="308" spans="2:27" x14ac:dyDescent="0.25">
      <c r="B308" s="30" t="s">
        <v>106</v>
      </c>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row>
  </sheetData>
  <sheetProtection sheet="1" objects="1" formatCells="0" formatColumns="0" formatRows="0" sort="0" autoFilter="0"/>
  <conditionalFormatting sqref="H306">
    <cfRule type="cellIs" dxfId="154" priority="10" operator="greaterThan">
      <formula>0</formula>
    </cfRule>
  </conditionalFormatting>
  <conditionalFormatting sqref="A4:I4 Z4:XFD4">
    <cfRule type="expression" dxfId="153" priority="9">
      <formula>LEFT($A$4,1) &lt;&gt; "0"</formula>
    </cfRule>
  </conditionalFormatting>
  <conditionalFormatting sqref="N4:P4">
    <cfRule type="expression" dxfId="152" priority="8">
      <formula>LEFT($A$4,1) &lt;&gt; "0"</formula>
    </cfRule>
  </conditionalFormatting>
  <conditionalFormatting sqref="L4:M4">
    <cfRule type="expression" dxfId="151" priority="7">
      <formula>LEFT($A$4,1) &lt;&gt; "0"</formula>
    </cfRule>
  </conditionalFormatting>
  <conditionalFormatting sqref="J4:K4">
    <cfRule type="expression" dxfId="150" priority="6">
      <formula>LEFT($A$4,1) &lt;&gt; "0"</formula>
    </cfRule>
  </conditionalFormatting>
  <conditionalFormatting sqref="Q4">
    <cfRule type="expression" dxfId="149" priority="5">
      <formula>LEFT($A$4,1) &lt;&gt; "0"</formula>
    </cfRule>
  </conditionalFormatting>
  <conditionalFormatting sqref="R4:S4">
    <cfRule type="expression" dxfId="148" priority="4">
      <formula>LEFT($A$4,1) &lt;&gt; "0"</formula>
    </cfRule>
  </conditionalFormatting>
  <conditionalFormatting sqref="T4:U4">
    <cfRule type="expression" dxfId="147" priority="3">
      <formula>LEFT($A$4,1) &lt;&gt; "0"</formula>
    </cfRule>
  </conditionalFormatting>
  <conditionalFormatting sqref="V4:W4">
    <cfRule type="expression" dxfId="146" priority="2">
      <formula>LEFT($A$4,1) &lt;&gt; "0"</formula>
    </cfRule>
  </conditionalFormatting>
  <conditionalFormatting sqref="X4:Y4">
    <cfRule type="expression" dxfId="145"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H32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0" width="24.5703125" hidden="1" customWidth="1"/>
    <col min="321" max="16384" width="8.7109375" hidden="1"/>
  </cols>
  <sheetData>
    <row r="1" spans="1:43" s="1" customFormat="1" x14ac:dyDescent="0.25">
      <c r="A1" s="1" t="str">
        <f ca="1">MID(CELL("filename",A1),FIND("]",CELL("filename",A1))+1,255)</f>
        <v>System peak demand</v>
      </c>
    </row>
    <row r="2" spans="1:43" s="1" customFormat="1" x14ac:dyDescent="0.25">
      <c r="A2" s="1" t="str">
        <f>Cover!D21&amp;" - "&amp;Cover!D23</f>
        <v>WPD East Midlands - April 21 Prices</v>
      </c>
    </row>
    <row r="3" spans="1:43" s="5" customFormat="1" x14ac:dyDescent="0.25">
      <c r="A3" s="5" t="str">
        <f>Cover!D2&amp;" - "&amp;Cover!D8&amp;" v"&amp;Cover!D10&amp;" - "&amp;Cover!D19</f>
        <v>CDCM charging model - Release for charge setting v5 - 2021/22</v>
      </c>
    </row>
    <row r="4" spans="1:43" x14ac:dyDescent="0.25">
      <c r="A4" s="12" t="str">
        <f>H281 &amp; IF(H281 = 1, " issue", " issues") &amp;" identified in checks on this sheet"</f>
        <v>0 issues identified in checks on this sheet</v>
      </c>
      <c r="B4" s="13"/>
      <c r="C4" s="13"/>
      <c r="D4" s="13"/>
      <c r="E4" s="13"/>
      <c r="F4" s="13"/>
      <c r="G4" s="13"/>
      <c r="H4" s="14"/>
      <c r="I4" s="14"/>
    </row>
    <row r="5" spans="1:43"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43"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25">
      <c r="C9" s="29" t="s">
        <v>490</v>
      </c>
      <c r="D9" s="29"/>
    </row>
    <row r="10" spans="1:43" x14ac:dyDescent="0.25">
      <c r="C10" s="29" t="s">
        <v>491</v>
      </c>
      <c r="D10" s="29"/>
    </row>
    <row r="11" spans="1:43" x14ac:dyDescent="0.25">
      <c r="C11" s="29" t="s">
        <v>492</v>
      </c>
      <c r="D11" s="29"/>
    </row>
    <row r="12" spans="1:43" x14ac:dyDescent="0.25">
      <c r="C12" s="29"/>
      <c r="D12" s="29" t="s">
        <v>493</v>
      </c>
    </row>
    <row r="13" spans="1:43" x14ac:dyDescent="0.25">
      <c r="C13" s="29"/>
      <c r="D13" s="29" t="s">
        <v>494</v>
      </c>
    </row>
    <row r="14" spans="1:43" x14ac:dyDescent="0.25">
      <c r="C14" s="29"/>
      <c r="D14" s="29" t="s">
        <v>495</v>
      </c>
    </row>
    <row r="16" spans="1:43" x14ac:dyDescent="0.25">
      <c r="B16" s="30" t="s">
        <v>496</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C16" s="30"/>
      <c r="AD16" s="30"/>
      <c r="AE16" s="30"/>
      <c r="AF16" s="30"/>
      <c r="AG16" s="30"/>
      <c r="AH16" s="30"/>
      <c r="AI16" s="30"/>
      <c r="AJ16" s="30"/>
      <c r="AK16" s="30"/>
      <c r="AL16" s="30"/>
      <c r="AM16" s="30"/>
      <c r="AN16" s="30"/>
      <c r="AO16" s="30"/>
      <c r="AQ16" s="30"/>
    </row>
    <row r="17" spans="3:43" x14ac:dyDescent="0.25">
      <c r="C17" s="32"/>
      <c r="AQ17" s="3"/>
    </row>
    <row r="18" spans="3:43" x14ac:dyDescent="0.25">
      <c r="C18" s="31" t="str">
        <f ca="1">INDEX('Version control'!$H$34:$H$57,MATCH($A$1,'Version control'!$F$34:$F$57,0),1)&amp;"-A: Common inputs for chargeable load calculations"</f>
        <v>Section 106-A: Common inputs for chargeable load calculations</v>
      </c>
      <c r="D18" s="31"/>
      <c r="E18" s="31"/>
      <c r="F18" s="31"/>
      <c r="G18" s="31"/>
      <c r="H18" s="31"/>
      <c r="I18" s="31"/>
      <c r="J18" s="31"/>
      <c r="K18" s="31"/>
      <c r="L18" s="31"/>
      <c r="M18" s="31"/>
      <c r="N18" s="31"/>
      <c r="O18" s="31"/>
      <c r="P18" s="31"/>
      <c r="Q18" s="31"/>
      <c r="R18" s="31"/>
      <c r="S18" s="31"/>
      <c r="T18" s="31"/>
      <c r="U18" s="31"/>
      <c r="V18" s="31"/>
      <c r="W18" s="31"/>
      <c r="X18" s="31"/>
      <c r="Y18" s="31"/>
      <c r="Z18" s="31"/>
      <c r="AA18" s="31"/>
      <c r="AQ18" s="3"/>
    </row>
    <row r="19" spans="3:43" x14ac:dyDescent="0.25">
      <c r="H19" s="63"/>
      <c r="J19" s="63"/>
      <c r="K19" s="63"/>
      <c r="L19" s="63"/>
      <c r="M19" s="63"/>
      <c r="N19" s="63"/>
      <c r="O19" s="63"/>
      <c r="P19" s="63"/>
      <c r="Q19" s="63"/>
      <c r="R19" s="63"/>
      <c r="S19" s="63"/>
      <c r="T19" s="63"/>
      <c r="U19" s="63"/>
      <c r="V19" s="63"/>
      <c r="W19" s="63"/>
      <c r="X19" s="63"/>
      <c r="Y19" s="63"/>
    </row>
    <row r="20" spans="3:43" x14ac:dyDescent="0.25">
      <c r="D20" s="29" t="s">
        <v>497</v>
      </c>
      <c r="AQ20" s="3"/>
    </row>
    <row r="21" spans="3:43" x14ac:dyDescent="0.25">
      <c r="C21" s="32"/>
      <c r="AQ21" s="3"/>
    </row>
    <row r="22" spans="3:43" x14ac:dyDescent="0.25">
      <c r="E22" s="32" t="s">
        <v>378</v>
      </c>
      <c r="H22" s="14"/>
      <c r="J22" s="63"/>
      <c r="L22" s="63"/>
      <c r="AQ22" s="3"/>
    </row>
    <row r="23" spans="3:43" x14ac:dyDescent="0.25">
      <c r="E23" s="32"/>
      <c r="F23" s="23" t="s">
        <v>191</v>
      </c>
      <c r="G23" s="23" t="s">
        <v>167</v>
      </c>
      <c r="H23" s="129"/>
      <c r="I23" s="23"/>
      <c r="J23" s="107">
        <f>'Standing charge factors'!J44</f>
        <v>0</v>
      </c>
      <c r="K23" s="107">
        <f>'Standing charge factors'!K44</f>
        <v>0</v>
      </c>
      <c r="L23" s="107">
        <f>'Standing charge factors'!L44</f>
        <v>0</v>
      </c>
      <c r="M23" s="107">
        <f>'Standing charge factors'!M44</f>
        <v>0</v>
      </c>
      <c r="N23" s="107">
        <f>'Standing charge factors'!N44</f>
        <v>0</v>
      </c>
      <c r="O23" s="107">
        <f>'Standing charge factors'!O44</f>
        <v>0</v>
      </c>
      <c r="P23" s="107">
        <f>'Standing charge factors'!P44</f>
        <v>0</v>
      </c>
      <c r="Q23" s="107">
        <f>'Standing charge factors'!Q44</f>
        <v>0</v>
      </c>
      <c r="R23" s="107">
        <f>'Standing charge factors'!R44</f>
        <v>0</v>
      </c>
      <c r="S23" s="107">
        <f>'Standing charge factors'!S44</f>
        <v>0</v>
      </c>
      <c r="T23" s="107">
        <f>'Standing charge factors'!T44</f>
        <v>0</v>
      </c>
      <c r="U23" s="107">
        <f>'Standing charge factors'!U44</f>
        <v>0</v>
      </c>
      <c r="V23" s="107">
        <f>'Standing charge factors'!V44</f>
        <v>0</v>
      </c>
      <c r="W23" s="107">
        <f>'Standing charge factors'!W44</f>
        <v>0</v>
      </c>
      <c r="X23" s="107">
        <f>'Standing charge factors'!X44</f>
        <v>0</v>
      </c>
      <c r="Y23" s="107">
        <f>'Standing charge factors'!Y44</f>
        <v>0</v>
      </c>
      <c r="AQ23" s="3"/>
    </row>
    <row r="24" spans="3:43" x14ac:dyDescent="0.25">
      <c r="E24" s="32"/>
      <c r="F24" t="s">
        <v>192</v>
      </c>
      <c r="G24" t="s">
        <v>167</v>
      </c>
      <c r="H24" s="63"/>
      <c r="J24" s="25">
        <f>'Standing charge factors'!J45</f>
        <v>0</v>
      </c>
      <c r="K24" s="25">
        <f>'Standing charge factors'!K45</f>
        <v>0</v>
      </c>
      <c r="L24" s="25">
        <f>'Standing charge factors'!L45</f>
        <v>0</v>
      </c>
      <c r="M24" s="25">
        <f>'Standing charge factors'!M45</f>
        <v>0</v>
      </c>
      <c r="N24" s="25">
        <f>'Standing charge factors'!N45</f>
        <v>0</v>
      </c>
      <c r="O24" s="25">
        <f>'Standing charge factors'!O45</f>
        <v>0</v>
      </c>
      <c r="P24" s="25">
        <f>'Standing charge factors'!P45</f>
        <v>1.5008868542263909E-2</v>
      </c>
      <c r="Q24" s="25">
        <f>'Standing charge factors'!Q45</f>
        <v>0</v>
      </c>
      <c r="R24" s="25">
        <f>'Standing charge factors'!R45</f>
        <v>0</v>
      </c>
      <c r="S24" s="25">
        <f>'Standing charge factors'!S45</f>
        <v>0</v>
      </c>
      <c r="T24" s="25">
        <f>'Standing charge factors'!T45</f>
        <v>0</v>
      </c>
      <c r="U24" s="25">
        <f>'Standing charge factors'!U45</f>
        <v>0</v>
      </c>
      <c r="V24" s="25">
        <f>'Standing charge factors'!V45</f>
        <v>0</v>
      </c>
      <c r="W24" s="25">
        <f>'Standing charge factors'!W45</f>
        <v>0</v>
      </c>
      <c r="X24" s="25">
        <f>'Standing charge factors'!X45</f>
        <v>0</v>
      </c>
      <c r="Y24" s="25">
        <f>'Standing charge factors'!Y45</f>
        <v>0</v>
      </c>
      <c r="AQ24" s="3"/>
    </row>
    <row r="25" spans="3:43" x14ac:dyDescent="0.25">
      <c r="E25" s="32"/>
      <c r="F25" t="s">
        <v>193</v>
      </c>
      <c r="G25" t="s">
        <v>167</v>
      </c>
      <c r="H25" s="63"/>
      <c r="J25" s="25">
        <f>'Standing charge factors'!J46</f>
        <v>0</v>
      </c>
      <c r="K25" s="25">
        <f>'Standing charge factors'!K46</f>
        <v>0</v>
      </c>
      <c r="L25" s="25">
        <f>'Standing charge factors'!L46</f>
        <v>0</v>
      </c>
      <c r="M25" s="25">
        <f>'Standing charge factors'!M46</f>
        <v>0</v>
      </c>
      <c r="N25" s="25">
        <f>'Standing charge factors'!N46</f>
        <v>0</v>
      </c>
      <c r="O25" s="25">
        <f>'Standing charge factors'!O46</f>
        <v>0</v>
      </c>
      <c r="P25" s="25">
        <f>'Standing charge factors'!P46</f>
        <v>0</v>
      </c>
      <c r="Q25" s="25">
        <f>'Standing charge factors'!Q46</f>
        <v>0</v>
      </c>
      <c r="R25" s="25">
        <f>'Standing charge factors'!R46</f>
        <v>0</v>
      </c>
      <c r="S25" s="25">
        <f>'Standing charge factors'!S46</f>
        <v>0</v>
      </c>
      <c r="T25" s="25">
        <f>'Standing charge factors'!T46</f>
        <v>0</v>
      </c>
      <c r="U25" s="25">
        <f>'Standing charge factors'!U46</f>
        <v>0</v>
      </c>
      <c r="V25" s="25">
        <f>'Standing charge factors'!V46</f>
        <v>0</v>
      </c>
      <c r="W25" s="25">
        <f>'Standing charge factors'!W46</f>
        <v>0</v>
      </c>
      <c r="X25" s="25">
        <f>'Standing charge factors'!X46</f>
        <v>0</v>
      </c>
      <c r="Y25" s="25">
        <f>'Standing charge factors'!Y46</f>
        <v>0</v>
      </c>
      <c r="AQ25" s="3"/>
    </row>
    <row r="26" spans="3:43" x14ac:dyDescent="0.25">
      <c r="E26" s="32"/>
      <c r="F26" t="s">
        <v>194</v>
      </c>
      <c r="G26" t="s">
        <v>167</v>
      </c>
      <c r="H26" s="63"/>
      <c r="J26" s="25">
        <f>'Standing charge factors'!J47</f>
        <v>0</v>
      </c>
      <c r="K26" s="25">
        <f>'Standing charge factors'!K47</f>
        <v>0</v>
      </c>
      <c r="L26" s="25">
        <f>'Standing charge factors'!L47</f>
        <v>0</v>
      </c>
      <c r="M26" s="25">
        <f>'Standing charge factors'!M47</f>
        <v>0</v>
      </c>
      <c r="N26" s="25">
        <f>'Standing charge factors'!N47</f>
        <v>0</v>
      </c>
      <c r="O26" s="25">
        <f>'Standing charge factors'!O47</f>
        <v>0</v>
      </c>
      <c r="P26" s="25">
        <f>'Standing charge factors'!P47</f>
        <v>0.2</v>
      </c>
      <c r="Q26" s="25">
        <f>'Standing charge factors'!Q47</f>
        <v>0</v>
      </c>
      <c r="R26" s="25">
        <f>'Standing charge factors'!R47</f>
        <v>0</v>
      </c>
      <c r="S26" s="25">
        <f>'Standing charge factors'!S47</f>
        <v>0</v>
      </c>
      <c r="T26" s="25">
        <f>'Standing charge factors'!T47</f>
        <v>0</v>
      </c>
      <c r="U26" s="25">
        <f>'Standing charge factors'!U47</f>
        <v>0</v>
      </c>
      <c r="V26" s="25">
        <f>'Standing charge factors'!V47</f>
        <v>0</v>
      </c>
      <c r="W26" s="25">
        <f>'Standing charge factors'!W47</f>
        <v>0</v>
      </c>
      <c r="X26" s="25">
        <f>'Standing charge factors'!X47</f>
        <v>0</v>
      </c>
      <c r="Y26" s="25">
        <f>'Standing charge factors'!Y47</f>
        <v>0</v>
      </c>
      <c r="AQ26" s="3"/>
    </row>
    <row r="27" spans="3:43" x14ac:dyDescent="0.25">
      <c r="E27" s="32"/>
      <c r="F27" t="s">
        <v>195</v>
      </c>
      <c r="G27" t="s">
        <v>167</v>
      </c>
      <c r="H27" s="63"/>
      <c r="J27" s="25">
        <f>'Standing charge factors'!J48</f>
        <v>0</v>
      </c>
      <c r="K27" s="25">
        <f>'Standing charge factors'!K48</f>
        <v>0</v>
      </c>
      <c r="L27" s="25">
        <f>'Standing charge factors'!L48</f>
        <v>0</v>
      </c>
      <c r="M27" s="25">
        <f>'Standing charge factors'!M48</f>
        <v>0</v>
      </c>
      <c r="N27" s="25">
        <f>'Standing charge factors'!N48</f>
        <v>0</v>
      </c>
      <c r="O27" s="25">
        <f>'Standing charge factors'!O48</f>
        <v>0</v>
      </c>
      <c r="P27" s="25">
        <f>'Standing charge factors'!P48</f>
        <v>1</v>
      </c>
      <c r="Q27" s="25">
        <f>'Standing charge factors'!Q48</f>
        <v>0</v>
      </c>
      <c r="R27" s="25">
        <f>'Standing charge factors'!R48</f>
        <v>0</v>
      </c>
      <c r="S27" s="25">
        <f>'Standing charge factors'!S48</f>
        <v>0</v>
      </c>
      <c r="T27" s="25">
        <f>'Standing charge factors'!T48</f>
        <v>0</v>
      </c>
      <c r="U27" s="25">
        <f>'Standing charge factors'!U48</f>
        <v>0</v>
      </c>
      <c r="V27" s="25">
        <f>'Standing charge factors'!V48</f>
        <v>0</v>
      </c>
      <c r="W27" s="25">
        <f>'Standing charge factors'!W48</f>
        <v>0</v>
      </c>
      <c r="X27" s="25">
        <f>'Standing charge factors'!X48</f>
        <v>0</v>
      </c>
      <c r="Y27" s="25">
        <f>'Standing charge factors'!Y48</f>
        <v>0</v>
      </c>
      <c r="AQ27" s="3"/>
    </row>
    <row r="28" spans="3:43" x14ac:dyDescent="0.25">
      <c r="E28" s="32"/>
      <c r="F28" t="s">
        <v>196</v>
      </c>
      <c r="G28" t="s">
        <v>167</v>
      </c>
      <c r="H28" s="63"/>
      <c r="J28" s="25">
        <f>'Standing charge factors'!J49</f>
        <v>0</v>
      </c>
      <c r="K28" s="25">
        <f>'Standing charge factors'!K49</f>
        <v>0</v>
      </c>
      <c r="L28" s="25">
        <f>'Standing charge factors'!L49</f>
        <v>0</v>
      </c>
      <c r="M28" s="25">
        <f>'Standing charge factors'!M49</f>
        <v>0</v>
      </c>
      <c r="N28" s="25">
        <f>'Standing charge factors'!N49</f>
        <v>0</v>
      </c>
      <c r="O28" s="25">
        <f>'Standing charge factors'!O49</f>
        <v>0</v>
      </c>
      <c r="P28" s="25">
        <f>'Standing charge factors'!P49</f>
        <v>1</v>
      </c>
      <c r="Q28" s="25">
        <f>'Standing charge factors'!Q49</f>
        <v>0</v>
      </c>
      <c r="R28" s="25">
        <f>'Standing charge factors'!R49</f>
        <v>0</v>
      </c>
      <c r="S28" s="25">
        <f>'Standing charge factors'!S49</f>
        <v>0</v>
      </c>
      <c r="T28" s="25">
        <f>'Standing charge factors'!T49</f>
        <v>0</v>
      </c>
      <c r="U28" s="25">
        <f>'Standing charge factors'!U49</f>
        <v>0</v>
      </c>
      <c r="V28" s="25">
        <f>'Standing charge factors'!V49</f>
        <v>0</v>
      </c>
      <c r="W28" s="25">
        <f>'Standing charge factors'!W49</f>
        <v>0</v>
      </c>
      <c r="X28" s="25">
        <f>'Standing charge factors'!X49</f>
        <v>0</v>
      </c>
      <c r="Y28" s="25">
        <f>'Standing charge factors'!Y49</f>
        <v>0</v>
      </c>
      <c r="AQ28" s="3"/>
    </row>
    <row r="29" spans="3:43" x14ac:dyDescent="0.25">
      <c r="E29" s="32"/>
      <c r="F29" t="s">
        <v>197</v>
      </c>
      <c r="G29" t="s">
        <v>167</v>
      </c>
      <c r="H29" s="63"/>
      <c r="J29" s="25">
        <f>'Standing charge factors'!J50</f>
        <v>0</v>
      </c>
      <c r="K29" s="25">
        <f>'Standing charge factors'!K50</f>
        <v>0</v>
      </c>
      <c r="L29" s="25">
        <f>'Standing charge factors'!L50</f>
        <v>0</v>
      </c>
      <c r="M29" s="25">
        <f>'Standing charge factors'!M50</f>
        <v>0</v>
      </c>
      <c r="N29" s="25">
        <f>'Standing charge factors'!N50</f>
        <v>0.2</v>
      </c>
      <c r="O29" s="25">
        <f>'Standing charge factors'!O50</f>
        <v>1</v>
      </c>
      <c r="P29" s="25">
        <f>'Standing charge factors'!P50</f>
        <v>1</v>
      </c>
      <c r="Q29" s="25">
        <f>'Standing charge factors'!Q50</f>
        <v>0</v>
      </c>
      <c r="R29" s="25">
        <f>'Standing charge factors'!R50</f>
        <v>0</v>
      </c>
      <c r="S29" s="25">
        <f>'Standing charge factors'!S50</f>
        <v>0</v>
      </c>
      <c r="T29" s="25">
        <f>'Standing charge factors'!T50</f>
        <v>0</v>
      </c>
      <c r="U29" s="25">
        <f>'Standing charge factors'!U50</f>
        <v>0</v>
      </c>
      <c r="V29" s="25">
        <f>'Standing charge factors'!V50</f>
        <v>0</v>
      </c>
      <c r="W29" s="25">
        <f>'Standing charge factors'!W50</f>
        <v>0</v>
      </c>
      <c r="X29" s="25">
        <f>'Standing charge factors'!X50</f>
        <v>0</v>
      </c>
      <c r="Y29" s="25">
        <f>'Standing charge factors'!Y50</f>
        <v>0</v>
      </c>
      <c r="AQ29" s="3"/>
    </row>
    <row r="30" spans="3:43" x14ac:dyDescent="0.25">
      <c r="E30" s="32"/>
      <c r="F30" t="s">
        <v>198</v>
      </c>
      <c r="G30" t="s">
        <v>167</v>
      </c>
      <c r="H30" s="63"/>
      <c r="J30" s="25">
        <f>'Standing charge factors'!J51</f>
        <v>0</v>
      </c>
      <c r="K30" s="25">
        <f>'Standing charge factors'!K51</f>
        <v>0</v>
      </c>
      <c r="L30" s="25">
        <f>'Standing charge factors'!L51</f>
        <v>0</v>
      </c>
      <c r="M30" s="25">
        <f>'Standing charge factors'!M51</f>
        <v>0</v>
      </c>
      <c r="N30" s="25">
        <f>'Standing charge factors'!N51</f>
        <v>1</v>
      </c>
      <c r="O30" s="25">
        <f>'Standing charge factors'!O51</f>
        <v>1</v>
      </c>
      <c r="P30" s="25">
        <f>'Standing charge factors'!P51</f>
        <v>0</v>
      </c>
      <c r="Q30" s="25">
        <f>'Standing charge factors'!Q51</f>
        <v>0</v>
      </c>
      <c r="R30" s="25">
        <f>'Standing charge factors'!R51</f>
        <v>0</v>
      </c>
      <c r="S30" s="25">
        <f>'Standing charge factors'!S51</f>
        <v>0</v>
      </c>
      <c r="T30" s="25">
        <f>'Standing charge factors'!T51</f>
        <v>0</v>
      </c>
      <c r="U30" s="25">
        <f>'Standing charge factors'!U51</f>
        <v>0</v>
      </c>
      <c r="V30" s="25">
        <f>'Standing charge factors'!V51</f>
        <v>0</v>
      </c>
      <c r="W30" s="25">
        <f>'Standing charge factors'!W51</f>
        <v>0</v>
      </c>
      <c r="X30" s="25">
        <f>'Standing charge factors'!X51</f>
        <v>0</v>
      </c>
      <c r="Y30" s="25">
        <f>'Standing charge factors'!Y51</f>
        <v>0</v>
      </c>
      <c r="AQ30" s="3"/>
    </row>
    <row r="31" spans="3:43" x14ac:dyDescent="0.25">
      <c r="E31" s="32"/>
      <c r="F31" s="37" t="s">
        <v>199</v>
      </c>
      <c r="G31" s="37" t="s">
        <v>167</v>
      </c>
      <c r="H31" s="130"/>
      <c r="I31" s="37"/>
      <c r="J31" s="141">
        <f>'Standing charge factors'!J52</f>
        <v>1</v>
      </c>
      <c r="K31" s="141">
        <f>'Standing charge factors'!K52</f>
        <v>1</v>
      </c>
      <c r="L31" s="141">
        <f>'Standing charge factors'!L52</f>
        <v>1</v>
      </c>
      <c r="M31" s="141">
        <f>'Standing charge factors'!M52</f>
        <v>1</v>
      </c>
      <c r="N31" s="141">
        <f>'Standing charge factors'!N52</f>
        <v>1</v>
      </c>
      <c r="O31" s="141">
        <f>'Standing charge factors'!O52</f>
        <v>0</v>
      </c>
      <c r="P31" s="141">
        <f>'Standing charge factors'!P52</f>
        <v>0</v>
      </c>
      <c r="Q31" s="141">
        <f>'Standing charge factors'!Q52</f>
        <v>0</v>
      </c>
      <c r="R31" s="141">
        <f>'Standing charge factors'!R52</f>
        <v>0</v>
      </c>
      <c r="S31" s="141">
        <f>'Standing charge factors'!S52</f>
        <v>0</v>
      </c>
      <c r="T31" s="141">
        <f>'Standing charge factors'!T52</f>
        <v>0</v>
      </c>
      <c r="U31" s="141">
        <f>'Standing charge factors'!U52</f>
        <v>0</v>
      </c>
      <c r="V31" s="141">
        <f>'Standing charge factors'!V52</f>
        <v>0</v>
      </c>
      <c r="W31" s="141">
        <f>'Standing charge factors'!W52</f>
        <v>0</v>
      </c>
      <c r="X31" s="141">
        <f>'Standing charge factors'!X52</f>
        <v>0</v>
      </c>
      <c r="Y31" s="141">
        <f>'Standing charge factors'!Y52</f>
        <v>0</v>
      </c>
      <c r="AQ31" s="3"/>
    </row>
    <row r="32" spans="3:43" x14ac:dyDescent="0.25">
      <c r="E32" s="32"/>
      <c r="J32" s="63"/>
      <c r="K32" s="63"/>
      <c r="L32" s="63"/>
      <c r="M32" s="63"/>
      <c r="N32" s="63"/>
      <c r="O32" s="63"/>
      <c r="P32" s="63"/>
      <c r="Q32" s="63"/>
      <c r="R32" s="63"/>
      <c r="S32" s="63"/>
      <c r="T32" s="63"/>
      <c r="U32" s="63"/>
      <c r="V32" s="63"/>
      <c r="W32" s="63"/>
      <c r="X32" s="63"/>
      <c r="Y32" s="63"/>
      <c r="AQ32" s="3"/>
    </row>
    <row r="33" spans="5:43" x14ac:dyDescent="0.25">
      <c r="E33" s="32" t="s">
        <v>498</v>
      </c>
      <c r="I33" t="s">
        <v>154</v>
      </c>
      <c r="J33" s="63"/>
      <c r="K33" s="63"/>
      <c r="L33" s="63"/>
      <c r="M33" s="63"/>
      <c r="N33" s="63"/>
      <c r="O33" s="63"/>
      <c r="P33" s="63"/>
      <c r="Q33" s="63"/>
      <c r="R33" s="63"/>
      <c r="S33" s="63"/>
      <c r="T33" s="63"/>
      <c r="U33" s="63"/>
      <c r="V33" s="63"/>
      <c r="W33" s="63"/>
      <c r="X33" s="63"/>
      <c r="Y33" s="63"/>
      <c r="AA33" t="s">
        <v>499</v>
      </c>
      <c r="AQ33" s="3"/>
    </row>
    <row r="34" spans="5:43" x14ac:dyDescent="0.25">
      <c r="E34" s="32"/>
      <c r="F34" s="23" t="s">
        <v>191</v>
      </c>
      <c r="G34" s="23" t="s">
        <v>283</v>
      </c>
      <c r="H34" s="158"/>
      <c r="I34" s="158"/>
      <c r="J34" s="124">
        <f t="array" ref="J34:Y42">TRANSPOSE('Load &amp; loss characteristics'!K145:S160)</f>
        <v>1.0780000000000001</v>
      </c>
      <c r="K34" s="124">
        <v>1.0780000000000001</v>
      </c>
      <c r="L34" s="124">
        <v>1.0780000000000001</v>
      </c>
      <c r="M34" s="124">
        <v>1.0780000000000001</v>
      </c>
      <c r="N34" s="124">
        <v>1.0780000000000001</v>
      </c>
      <c r="O34" s="124">
        <v>1.0469999999999999</v>
      </c>
      <c r="P34" s="124">
        <v>1.036</v>
      </c>
      <c r="Q34" s="124">
        <v>1.0780000000000001</v>
      </c>
      <c r="R34" s="124">
        <v>-1.0780000000000001</v>
      </c>
      <c r="S34" s="124">
        <v>-1.0469999999999999</v>
      </c>
      <c r="T34" s="124">
        <v>-1.0780000000000001</v>
      </c>
      <c r="U34" s="124">
        <v>-1.0780000000000001</v>
      </c>
      <c r="V34" s="124">
        <v>-1.0469999999999999</v>
      </c>
      <c r="W34" s="124">
        <v>-1.0469999999999999</v>
      </c>
      <c r="X34" s="124">
        <v>-1.036</v>
      </c>
      <c r="Y34" s="124">
        <v>-1.036</v>
      </c>
      <c r="AQ34" s="3"/>
    </row>
    <row r="35" spans="5:43" x14ac:dyDescent="0.25">
      <c r="E35" s="32"/>
      <c r="F35" t="s">
        <v>192</v>
      </c>
      <c r="G35" t="s">
        <v>283</v>
      </c>
      <c r="H35" s="89"/>
      <c r="I35" s="89"/>
      <c r="J35" s="120">
        <v>1.0780000000000001</v>
      </c>
      <c r="K35" s="120">
        <v>1.0780000000000001</v>
      </c>
      <c r="L35" s="120">
        <v>1.0780000000000001</v>
      </c>
      <c r="M35" s="120">
        <v>1.0780000000000001</v>
      </c>
      <c r="N35" s="120">
        <v>1.0780000000000001</v>
      </c>
      <c r="O35" s="120">
        <v>1.0469999999999999</v>
      </c>
      <c r="P35" s="120">
        <v>1.036</v>
      </c>
      <c r="Q35" s="120">
        <v>1.0780000000000001</v>
      </c>
      <c r="R35" s="120">
        <v>-1.0780000000000001</v>
      </c>
      <c r="S35" s="120">
        <v>-1.0469999999999999</v>
      </c>
      <c r="T35" s="120">
        <v>-1.0780000000000001</v>
      </c>
      <c r="U35" s="120">
        <v>-1.0780000000000001</v>
      </c>
      <c r="V35" s="120">
        <v>-1.0469999999999999</v>
      </c>
      <c r="W35" s="120">
        <v>-1.0469999999999999</v>
      </c>
      <c r="X35" s="120">
        <v>-1.036</v>
      </c>
      <c r="Y35" s="120">
        <v>-1.036</v>
      </c>
      <c r="AQ35" s="3"/>
    </row>
    <row r="36" spans="5:43" x14ac:dyDescent="0.25">
      <c r="E36" s="32"/>
      <c r="F36" t="s">
        <v>193</v>
      </c>
      <c r="G36" t="s">
        <v>283</v>
      </c>
      <c r="H36" s="89"/>
      <c r="I36" s="89"/>
      <c r="J36" s="120">
        <v>0.99710219855719762</v>
      </c>
      <c r="K36" s="120">
        <v>0.99710219855719762</v>
      </c>
      <c r="L36" s="120">
        <v>0.99710219855719762</v>
      </c>
      <c r="M36" s="120">
        <v>0.99710219855719762</v>
      </c>
      <c r="N36" s="120">
        <v>0.99710219855719762</v>
      </c>
      <c r="O36" s="120">
        <v>0.96842857318124842</v>
      </c>
      <c r="P36" s="120">
        <v>0.95825406095107302</v>
      </c>
      <c r="Q36" s="120">
        <v>0.99710219855719762</v>
      </c>
      <c r="R36" s="120">
        <v>-0.99710219855719762</v>
      </c>
      <c r="S36" s="120">
        <v>-0.96842857318124842</v>
      </c>
      <c r="T36" s="120">
        <v>-0.99710219855719762</v>
      </c>
      <c r="U36" s="120">
        <v>-0.99710219855719762</v>
      </c>
      <c r="V36" s="120">
        <v>-0.96842857318124842</v>
      </c>
      <c r="W36" s="120">
        <v>-0.96842857318124842</v>
      </c>
      <c r="X36" s="120">
        <v>-0.95825406095107302</v>
      </c>
      <c r="Y36" s="120">
        <v>-0.95825406095107302</v>
      </c>
      <c r="AQ36" s="3"/>
    </row>
    <row r="37" spans="5:43" x14ac:dyDescent="0.25">
      <c r="E37" s="32"/>
      <c r="F37" t="s">
        <v>194</v>
      </c>
      <c r="G37" t="s">
        <v>283</v>
      </c>
      <c r="H37" s="89"/>
      <c r="I37" s="89"/>
      <c r="J37" s="120">
        <v>0.99710219855719762</v>
      </c>
      <c r="K37" s="120">
        <v>0.99710219855719762</v>
      </c>
      <c r="L37" s="120">
        <v>0.99710219855719762</v>
      </c>
      <c r="M37" s="120">
        <v>0.99710219855719762</v>
      </c>
      <c r="N37" s="120">
        <v>0.99710219855719762</v>
      </c>
      <c r="O37" s="120">
        <v>0.96842857318124842</v>
      </c>
      <c r="P37" s="120">
        <v>0.95825406095107302</v>
      </c>
      <c r="Q37" s="120">
        <v>0.99710219855719762</v>
      </c>
      <c r="R37" s="120">
        <v>-0.99710219855719762</v>
      </c>
      <c r="S37" s="120">
        <v>-0.96842857318124842</v>
      </c>
      <c r="T37" s="120">
        <v>-0.99710219855719762</v>
      </c>
      <c r="U37" s="120">
        <v>-0.99710219855719762</v>
      </c>
      <c r="V37" s="120">
        <v>-0.96842857318124842</v>
      </c>
      <c r="W37" s="120">
        <v>-0.96842857318124842</v>
      </c>
      <c r="X37" s="120">
        <v>-0.95825406095107302</v>
      </c>
      <c r="Y37" s="120">
        <v>-0.95825406095107302</v>
      </c>
      <c r="AQ37" s="3"/>
    </row>
    <row r="38" spans="5:43" x14ac:dyDescent="0.25">
      <c r="E38" s="32"/>
      <c r="F38" t="s">
        <v>195</v>
      </c>
      <c r="G38" t="s">
        <v>283</v>
      </c>
      <c r="H38" s="89"/>
      <c r="I38" s="89"/>
      <c r="J38" s="120">
        <v>0.99710219855719762</v>
      </c>
      <c r="K38" s="120">
        <v>0.99710219855719762</v>
      </c>
      <c r="L38" s="120">
        <v>0.99710219855719762</v>
      </c>
      <c r="M38" s="120">
        <v>0.99710219855719762</v>
      </c>
      <c r="N38" s="120">
        <v>0.99710219855719762</v>
      </c>
      <c r="O38" s="120">
        <v>0.96842857318124842</v>
      </c>
      <c r="P38" s="120">
        <v>0.95825406095107302</v>
      </c>
      <c r="Q38" s="120">
        <v>0.99710219855719762</v>
      </c>
      <c r="R38" s="120">
        <v>-0.99710219855719762</v>
      </c>
      <c r="S38" s="120">
        <v>-0.96842857318124842</v>
      </c>
      <c r="T38" s="120">
        <v>-0.99710219855719762</v>
      </c>
      <c r="U38" s="120">
        <v>-0.99710219855719762</v>
      </c>
      <c r="V38" s="120">
        <v>-0.96842857318124842</v>
      </c>
      <c r="W38" s="120">
        <v>-0.96842857318124842</v>
      </c>
      <c r="X38" s="120">
        <v>-0.95825406095107302</v>
      </c>
      <c r="Y38" s="120">
        <v>-0.95825406095107302</v>
      </c>
      <c r="AQ38" s="3"/>
    </row>
    <row r="39" spans="5:43" x14ac:dyDescent="0.25">
      <c r="E39" s="32"/>
      <c r="F39" t="s">
        <v>196</v>
      </c>
      <c r="G39" t="s">
        <v>283</v>
      </c>
      <c r="H39" s="89"/>
      <c r="I39" s="89"/>
      <c r="J39" s="120">
        <v>8.0897801442802481E-2</v>
      </c>
      <c r="K39" s="120">
        <v>8.0897801442802481E-2</v>
      </c>
      <c r="L39" s="120">
        <v>8.0897801442802481E-2</v>
      </c>
      <c r="M39" s="120">
        <v>8.0897801442802481E-2</v>
      </c>
      <c r="N39" s="120">
        <v>8.0897801442802481E-2</v>
      </c>
      <c r="O39" s="120">
        <v>7.8571426818751552E-2</v>
      </c>
      <c r="P39" s="120">
        <v>7.7745939048927057E-2</v>
      </c>
      <c r="Q39" s="120">
        <v>8.0897801442802481E-2</v>
      </c>
      <c r="R39" s="120">
        <v>-8.0897801442802481E-2</v>
      </c>
      <c r="S39" s="120">
        <v>-7.8571426818751552E-2</v>
      </c>
      <c r="T39" s="120">
        <v>-8.0897801442802481E-2</v>
      </c>
      <c r="U39" s="120">
        <v>-8.0897801442802481E-2</v>
      </c>
      <c r="V39" s="120">
        <v>-7.8571426818751552E-2</v>
      </c>
      <c r="W39" s="120">
        <v>-7.8571426818751552E-2</v>
      </c>
      <c r="X39" s="120">
        <v>-7.7745939048927057E-2</v>
      </c>
      <c r="Y39" s="120">
        <v>-7.7745939048927057E-2</v>
      </c>
      <c r="AQ39" s="3"/>
    </row>
    <row r="40" spans="5:43" x14ac:dyDescent="0.25">
      <c r="E40" s="32"/>
      <c r="F40" t="s">
        <v>197</v>
      </c>
      <c r="G40" t="s">
        <v>283</v>
      </c>
      <c r="H40" s="89"/>
      <c r="I40" s="89"/>
      <c r="J40" s="120">
        <v>1.0780000000000001</v>
      </c>
      <c r="K40" s="120">
        <v>1.0780000000000001</v>
      </c>
      <c r="L40" s="120">
        <v>1.0780000000000001</v>
      </c>
      <c r="M40" s="120">
        <v>1.0780000000000001</v>
      </c>
      <c r="N40" s="120">
        <v>1.0780000000000001</v>
      </c>
      <c r="O40" s="120">
        <v>1.0469999999999999</v>
      </c>
      <c r="P40" s="120">
        <v>1.036</v>
      </c>
      <c r="Q40" s="120">
        <v>1.0780000000000001</v>
      </c>
      <c r="R40" s="120">
        <v>-1.0780000000000001</v>
      </c>
      <c r="S40" s="120">
        <v>-1.0469999999999999</v>
      </c>
      <c r="T40" s="120">
        <v>-1.0780000000000001</v>
      </c>
      <c r="U40" s="120">
        <v>-1.0780000000000001</v>
      </c>
      <c r="V40" s="120">
        <v>-1.0469999999999999</v>
      </c>
      <c r="W40" s="120">
        <v>-1.0469999999999999</v>
      </c>
      <c r="X40" s="120">
        <v>0</v>
      </c>
      <c r="Y40" s="120">
        <v>0</v>
      </c>
      <c r="AQ40" s="3"/>
    </row>
    <row r="41" spans="5:43" x14ac:dyDescent="0.25">
      <c r="E41" s="32"/>
      <c r="F41" t="s">
        <v>198</v>
      </c>
      <c r="G41" t="s">
        <v>283</v>
      </c>
      <c r="H41" s="89"/>
      <c r="I41" s="89"/>
      <c r="J41" s="120">
        <v>1.0780000000000001</v>
      </c>
      <c r="K41" s="120">
        <v>1.0780000000000001</v>
      </c>
      <c r="L41" s="120">
        <v>1.0780000000000001</v>
      </c>
      <c r="M41" s="120">
        <v>1.0780000000000001</v>
      </c>
      <c r="N41" s="120">
        <v>1.0780000000000001</v>
      </c>
      <c r="O41" s="120">
        <v>1.0469999999999999</v>
      </c>
      <c r="P41" s="120">
        <v>0</v>
      </c>
      <c r="Q41" s="120">
        <v>1.0780000000000001</v>
      </c>
      <c r="R41" s="120">
        <v>-1.0780000000000001</v>
      </c>
      <c r="S41" s="120">
        <v>0</v>
      </c>
      <c r="T41" s="120">
        <v>-1.0780000000000001</v>
      </c>
      <c r="U41" s="120">
        <v>-1.0780000000000001</v>
      </c>
      <c r="V41" s="120">
        <v>0</v>
      </c>
      <c r="W41" s="120">
        <v>0</v>
      </c>
      <c r="X41" s="120">
        <v>0</v>
      </c>
      <c r="Y41" s="120">
        <v>0</v>
      </c>
      <c r="AQ41" s="3"/>
    </row>
    <row r="42" spans="5:43" x14ac:dyDescent="0.25">
      <c r="E42" s="32"/>
      <c r="F42" s="37" t="s">
        <v>199</v>
      </c>
      <c r="G42" s="37" t="s">
        <v>283</v>
      </c>
      <c r="H42" s="82"/>
      <c r="I42" s="82"/>
      <c r="J42" s="125">
        <v>1.0780000000000001</v>
      </c>
      <c r="K42" s="125">
        <v>1.0780000000000001</v>
      </c>
      <c r="L42" s="125">
        <v>1.0780000000000001</v>
      </c>
      <c r="M42" s="125">
        <v>1.0780000000000001</v>
      </c>
      <c r="N42" s="125">
        <v>1.0780000000000001</v>
      </c>
      <c r="O42" s="125">
        <v>0</v>
      </c>
      <c r="P42" s="125">
        <v>0</v>
      </c>
      <c r="Q42" s="125">
        <v>1.0780000000000001</v>
      </c>
      <c r="R42" s="125">
        <v>0</v>
      </c>
      <c r="S42" s="125">
        <v>0</v>
      </c>
      <c r="T42" s="125">
        <v>0</v>
      </c>
      <c r="U42" s="125">
        <v>0</v>
      </c>
      <c r="V42" s="125">
        <v>0</v>
      </c>
      <c r="W42" s="125">
        <v>0</v>
      </c>
      <c r="X42" s="125">
        <v>0</v>
      </c>
      <c r="Y42" s="125">
        <v>0</v>
      </c>
      <c r="AQ42" s="3"/>
    </row>
    <row r="43" spans="5:43" x14ac:dyDescent="0.25">
      <c r="E43" s="32"/>
      <c r="H43" s="89"/>
      <c r="I43" s="89"/>
      <c r="J43" s="89"/>
      <c r="K43" s="89"/>
      <c r="L43" s="89"/>
      <c r="M43" s="89"/>
      <c r="N43" s="89"/>
      <c r="O43" s="89"/>
      <c r="P43" s="89"/>
      <c r="Q43" s="89"/>
      <c r="R43" s="89"/>
      <c r="S43" s="89"/>
      <c r="T43" s="89"/>
      <c r="U43" s="89"/>
      <c r="V43" s="89"/>
      <c r="W43" s="89"/>
      <c r="X43" s="89"/>
      <c r="Y43" s="89"/>
      <c r="AQ43" s="3"/>
    </row>
    <row r="44" spans="5:43" x14ac:dyDescent="0.25">
      <c r="E44" s="32" t="s">
        <v>500</v>
      </c>
      <c r="H44" s="89"/>
      <c r="I44" s="89"/>
      <c r="J44" s="89"/>
      <c r="K44" s="89"/>
      <c r="L44" s="89"/>
      <c r="M44" s="89"/>
      <c r="N44" s="89"/>
      <c r="O44" s="89"/>
      <c r="P44" s="89"/>
      <c r="Q44" s="89"/>
      <c r="R44" s="89"/>
      <c r="S44" s="89"/>
      <c r="T44" s="89"/>
      <c r="U44" s="89"/>
      <c r="V44" s="89"/>
      <c r="W44" s="89"/>
      <c r="X44" s="89"/>
      <c r="Y44" s="89"/>
      <c r="AQ44" s="3"/>
    </row>
    <row r="45" spans="5:43" x14ac:dyDescent="0.25">
      <c r="E45" s="32"/>
      <c r="F45" s="23" t="s">
        <v>191</v>
      </c>
      <c r="G45" s="23" t="s">
        <v>283</v>
      </c>
      <c r="H45" s="124">
        <f>'Load &amp; loss characteristics'!K29</f>
        <v>1</v>
      </c>
      <c r="I45" s="89"/>
      <c r="J45" s="89"/>
      <c r="K45" s="89"/>
      <c r="L45" s="89"/>
      <c r="M45" s="89"/>
      <c r="N45" s="89"/>
      <c r="O45" s="89"/>
      <c r="P45" s="89"/>
      <c r="Q45" s="89"/>
      <c r="R45" s="89"/>
      <c r="S45" s="89"/>
      <c r="T45" s="89"/>
      <c r="U45" s="89"/>
      <c r="V45" s="89"/>
      <c r="W45" s="89"/>
      <c r="X45" s="89"/>
      <c r="Y45" s="89"/>
      <c r="AQ45" s="3"/>
    </row>
    <row r="46" spans="5:43" x14ac:dyDescent="0.25">
      <c r="E46" s="32"/>
      <c r="F46" t="s">
        <v>192</v>
      </c>
      <c r="G46" t="s">
        <v>283</v>
      </c>
      <c r="H46" s="120">
        <f>'Load &amp; loss characteristics'!L29</f>
        <v>1.0029999999999999</v>
      </c>
      <c r="I46" s="89"/>
      <c r="J46" s="89"/>
      <c r="K46" s="89"/>
      <c r="L46" s="89"/>
      <c r="M46" s="89"/>
      <c r="N46" s="89"/>
      <c r="O46" s="89"/>
      <c r="P46" s="89"/>
      <c r="Q46" s="89"/>
      <c r="R46" s="89"/>
      <c r="S46" s="89"/>
      <c r="T46" s="89"/>
      <c r="U46" s="89"/>
      <c r="V46" s="89"/>
      <c r="W46" s="89"/>
      <c r="X46" s="89"/>
      <c r="Y46" s="89"/>
      <c r="AQ46" s="3"/>
    </row>
    <row r="47" spans="5:43" x14ac:dyDescent="0.25">
      <c r="E47" s="32"/>
      <c r="F47" t="s">
        <v>193</v>
      </c>
      <c r="G47" t="s">
        <v>283</v>
      </c>
      <c r="H47" s="120">
        <f>'Load &amp; loss characteristics'!M29</f>
        <v>1.006</v>
      </c>
      <c r="I47" s="89"/>
      <c r="J47" s="89"/>
      <c r="K47" s="89"/>
      <c r="L47" s="89"/>
      <c r="M47" s="89"/>
      <c r="N47" s="89"/>
      <c r="O47" s="89"/>
      <c r="P47" s="89"/>
      <c r="Q47" s="89"/>
      <c r="R47" s="89"/>
      <c r="S47" s="89"/>
      <c r="T47" s="89"/>
      <c r="U47" s="89"/>
      <c r="V47" s="89"/>
      <c r="W47" s="89"/>
      <c r="X47" s="89"/>
      <c r="Y47" s="89"/>
      <c r="AQ47" s="3"/>
    </row>
    <row r="48" spans="5:43" x14ac:dyDescent="0.25">
      <c r="E48" s="32"/>
      <c r="F48" t="s">
        <v>194</v>
      </c>
      <c r="G48" t="s">
        <v>283</v>
      </c>
      <c r="H48" s="120">
        <f>'Load &amp; loss characteristics'!N29</f>
        <v>1.014</v>
      </c>
      <c r="I48" s="89"/>
      <c r="J48" s="89"/>
      <c r="K48" s="89"/>
      <c r="L48" s="89"/>
      <c r="M48" s="89"/>
      <c r="N48" s="89"/>
      <c r="O48" s="89"/>
      <c r="P48" s="89"/>
      <c r="Q48" s="89"/>
      <c r="R48" s="89"/>
      <c r="S48" s="89"/>
      <c r="T48" s="89"/>
      <c r="U48" s="89"/>
      <c r="V48" s="89"/>
      <c r="W48" s="89"/>
      <c r="X48" s="89"/>
      <c r="Y48" s="89"/>
      <c r="AQ48" s="3"/>
    </row>
    <row r="49" spans="2:43" x14ac:dyDescent="0.25">
      <c r="E49" s="32"/>
      <c r="F49" t="s">
        <v>195</v>
      </c>
      <c r="G49" t="s">
        <v>283</v>
      </c>
      <c r="H49" s="120">
        <f>'Load &amp; loss characteristics'!O29</f>
        <v>1.02</v>
      </c>
      <c r="I49" s="89"/>
      <c r="J49" s="89"/>
      <c r="K49" s="89"/>
      <c r="L49" s="89"/>
      <c r="M49" s="89"/>
      <c r="N49" s="89"/>
      <c r="O49" s="89"/>
      <c r="P49" s="89"/>
      <c r="Q49" s="89"/>
      <c r="R49" s="89"/>
      <c r="S49" s="89"/>
      <c r="T49" s="89"/>
      <c r="U49" s="89"/>
      <c r="V49" s="89"/>
      <c r="W49" s="89"/>
      <c r="X49" s="89"/>
      <c r="Y49" s="89"/>
      <c r="AQ49" s="3"/>
    </row>
    <row r="50" spans="2:43" x14ac:dyDescent="0.25">
      <c r="E50" s="32"/>
      <c r="F50" t="s">
        <v>196</v>
      </c>
      <c r="G50" t="s">
        <v>283</v>
      </c>
      <c r="H50" s="120">
        <f>'Load &amp; loss characteristics'!P29</f>
        <v>1.02</v>
      </c>
      <c r="I50" s="89"/>
      <c r="J50" s="89"/>
      <c r="K50" s="89"/>
      <c r="L50" s="89"/>
      <c r="M50" s="89"/>
      <c r="N50" s="89"/>
      <c r="O50" s="89"/>
      <c r="P50" s="89"/>
      <c r="Q50" s="89"/>
      <c r="R50" s="89"/>
      <c r="S50" s="89"/>
      <c r="T50" s="89"/>
      <c r="U50" s="89"/>
      <c r="V50" s="89"/>
      <c r="W50" s="89"/>
      <c r="X50" s="89"/>
      <c r="Y50" s="89"/>
      <c r="AQ50" s="3"/>
    </row>
    <row r="51" spans="2:43" x14ac:dyDescent="0.25">
      <c r="E51" s="32"/>
      <c r="F51" t="s">
        <v>197</v>
      </c>
      <c r="G51" t="s">
        <v>283</v>
      </c>
      <c r="H51" s="120">
        <f>'Load &amp; loss characteristics'!Q29</f>
        <v>1.036</v>
      </c>
      <c r="I51" s="89"/>
      <c r="J51" s="89"/>
      <c r="K51" s="89"/>
      <c r="L51" s="89"/>
      <c r="M51" s="89"/>
      <c r="N51" s="89"/>
      <c r="O51" s="89"/>
      <c r="P51" s="89"/>
      <c r="Q51" s="89"/>
      <c r="R51" s="89"/>
      <c r="S51" s="89"/>
      <c r="T51" s="89"/>
      <c r="U51" s="89"/>
      <c r="V51" s="89"/>
      <c r="W51" s="89"/>
      <c r="X51" s="89"/>
      <c r="Y51" s="89"/>
      <c r="AQ51" s="3"/>
    </row>
    <row r="52" spans="2:43" x14ac:dyDescent="0.25">
      <c r="E52" s="32"/>
      <c r="F52" t="s">
        <v>198</v>
      </c>
      <c r="G52" t="s">
        <v>283</v>
      </c>
      <c r="H52" s="120">
        <f>'Load &amp; loss characteristics'!R29</f>
        <v>1.0469999999999999</v>
      </c>
      <c r="I52" s="89"/>
      <c r="J52" s="89"/>
      <c r="K52" s="89"/>
      <c r="L52" s="89"/>
      <c r="M52" s="89"/>
      <c r="N52" s="89"/>
      <c r="O52" s="89"/>
      <c r="P52" s="89"/>
      <c r="Q52" s="89"/>
      <c r="R52" s="89"/>
      <c r="S52" s="89"/>
      <c r="T52" s="89"/>
      <c r="U52" s="89"/>
      <c r="V52" s="89"/>
      <c r="W52" s="89"/>
      <c r="X52" s="89"/>
      <c r="Y52" s="89"/>
      <c r="AQ52" s="3"/>
    </row>
    <row r="53" spans="2:43" x14ac:dyDescent="0.25">
      <c r="E53" s="32"/>
      <c r="F53" s="37" t="s">
        <v>199</v>
      </c>
      <c r="G53" s="37" t="s">
        <v>283</v>
      </c>
      <c r="H53" s="125">
        <f>'Load &amp; loss characteristics'!S29</f>
        <v>1.0780000000000001</v>
      </c>
      <c r="I53" s="89"/>
      <c r="J53" s="89"/>
      <c r="K53" s="89"/>
      <c r="L53" s="89"/>
      <c r="M53" s="89"/>
      <c r="N53" s="89"/>
      <c r="O53" s="89"/>
      <c r="P53" s="89"/>
      <c r="Q53" s="89"/>
      <c r="R53" s="89"/>
      <c r="S53" s="89"/>
      <c r="T53" s="89"/>
      <c r="U53" s="89"/>
      <c r="V53" s="89"/>
      <c r="W53" s="89"/>
      <c r="X53" s="89"/>
      <c r="Y53" s="89"/>
      <c r="AQ53" s="3"/>
    </row>
    <row r="54" spans="2:43" x14ac:dyDescent="0.25">
      <c r="E54" s="32"/>
      <c r="H54" s="89"/>
      <c r="I54" s="89"/>
      <c r="J54" s="89"/>
      <c r="K54" s="89"/>
      <c r="L54" s="89"/>
      <c r="M54" s="89"/>
      <c r="N54" s="89"/>
      <c r="O54" s="89"/>
      <c r="P54" s="89"/>
      <c r="Q54" s="89"/>
      <c r="R54" s="89"/>
      <c r="S54" s="89"/>
      <c r="T54" s="89"/>
      <c r="U54" s="89"/>
      <c r="V54" s="89"/>
      <c r="W54" s="89"/>
      <c r="X54" s="89"/>
      <c r="Y54" s="89"/>
      <c r="AQ54" s="3"/>
    </row>
    <row r="55" spans="2:43" x14ac:dyDescent="0.25">
      <c r="E55" s="32" t="s">
        <v>501</v>
      </c>
      <c r="H55" s="89"/>
      <c r="I55" s="89" t="s">
        <v>154</v>
      </c>
      <c r="J55" s="89"/>
      <c r="K55" s="89"/>
      <c r="L55" s="89"/>
      <c r="M55" s="89"/>
      <c r="N55" s="89"/>
      <c r="O55" s="89"/>
      <c r="P55" s="89"/>
      <c r="Q55" s="89"/>
      <c r="R55" s="89"/>
      <c r="S55" s="89"/>
      <c r="T55" s="89"/>
      <c r="U55" s="89"/>
      <c r="V55" s="89"/>
      <c r="W55" s="89"/>
      <c r="X55" s="89"/>
      <c r="Y55" s="89"/>
      <c r="AA55" t="s">
        <v>502</v>
      </c>
    </row>
    <row r="56" spans="2:43" x14ac:dyDescent="0.25">
      <c r="E56" s="32"/>
      <c r="F56" s="23" t="s">
        <v>156</v>
      </c>
      <c r="G56" s="23" t="s">
        <v>207</v>
      </c>
      <c r="H56" s="158"/>
      <c r="I56" s="158"/>
      <c r="J56" s="124">
        <f>'Volume adjustments'!J66</f>
        <v>995604.37579133769</v>
      </c>
      <c r="K56" s="124">
        <f>'Volume adjustments'!K66</f>
        <v>844.76303646099564</v>
      </c>
      <c r="L56" s="124">
        <f>'Volume adjustments'!L66</f>
        <v>328562.10394094384</v>
      </c>
      <c r="M56" s="124">
        <f>'Volume adjustments'!M66</f>
        <v>29.861394683968697</v>
      </c>
      <c r="N56" s="124">
        <f>'Volume adjustments'!N66</f>
        <v>347180.92198321945</v>
      </c>
      <c r="O56" s="124">
        <f>'Volume adjustments'!O66</f>
        <v>28854.519217997538</v>
      </c>
      <c r="P56" s="124">
        <f>'Volume adjustments'!P66</f>
        <v>692748.3888782725</v>
      </c>
      <c r="Q56" s="124">
        <f>'Volume adjustments'!Q66</f>
        <v>9808.580008541272</v>
      </c>
      <c r="R56" s="124">
        <f>'Volume adjustments'!R66</f>
        <v>113.28039016895981</v>
      </c>
      <c r="S56" s="124">
        <f>'Volume adjustments'!S66</f>
        <v>0</v>
      </c>
      <c r="T56" s="124">
        <f>'Volume adjustments'!T66</f>
        <v>4553.188877237757</v>
      </c>
      <c r="U56" s="124">
        <f>'Volume adjustments'!U66</f>
        <v>0</v>
      </c>
      <c r="V56" s="124">
        <f>'Volume adjustments'!V66</f>
        <v>615.06552578097023</v>
      </c>
      <c r="W56" s="124">
        <f>'Volume adjustments'!W66</f>
        <v>0</v>
      </c>
      <c r="X56" s="124">
        <f>'Volume adjustments'!X66</f>
        <v>229961.87994000159</v>
      </c>
      <c r="Y56" s="124">
        <f>'Volume adjustments'!Y66</f>
        <v>0</v>
      </c>
      <c r="AQ56" s="3"/>
    </row>
    <row r="57" spans="2:43" x14ac:dyDescent="0.25">
      <c r="E57" s="32"/>
      <c r="F57" t="s">
        <v>157</v>
      </c>
      <c r="G57" t="s">
        <v>207</v>
      </c>
      <c r="H57" s="89"/>
      <c r="I57" s="89"/>
      <c r="J57" s="120">
        <f>'Volume adjustments'!J77</f>
        <v>2948496.3431510031</v>
      </c>
      <c r="K57" s="120">
        <f>'Volume adjustments'!K77</f>
        <v>5440.3358304795011</v>
      </c>
      <c r="L57" s="120">
        <f>'Volume adjustments'!L77</f>
        <v>1353711.1758886508</v>
      </c>
      <c r="M57" s="120">
        <f>'Volume adjustments'!M77</f>
        <v>464.08328869228717</v>
      </c>
      <c r="N57" s="120">
        <f>'Volume adjustments'!N77</f>
        <v>1461933.0859632664</v>
      </c>
      <c r="O57" s="120">
        <f>'Volume adjustments'!O77</f>
        <v>107141.34606800493</v>
      </c>
      <c r="P57" s="120">
        <f>'Volume adjustments'!P77</f>
        <v>2644422.1226810566</v>
      </c>
      <c r="Q57" s="120">
        <f>'Volume adjustments'!Q77</f>
        <v>49098.696890577165</v>
      </c>
      <c r="R57" s="120">
        <f>'Volume adjustments'!R77</f>
        <v>621.73009887917874</v>
      </c>
      <c r="S57" s="120">
        <f>'Volume adjustments'!S77</f>
        <v>0</v>
      </c>
      <c r="T57" s="120">
        <f>'Volume adjustments'!T77</f>
        <v>22548.676037633701</v>
      </c>
      <c r="U57" s="120">
        <f>'Volume adjustments'!U77</f>
        <v>0</v>
      </c>
      <c r="V57" s="120">
        <f>'Volume adjustments'!V77</f>
        <v>2420.0756967191228</v>
      </c>
      <c r="W57" s="120">
        <f>'Volume adjustments'!W77</f>
        <v>0</v>
      </c>
      <c r="X57" s="120">
        <f>'Volume adjustments'!X77</f>
        <v>553493.31010462705</v>
      </c>
      <c r="Y57" s="120">
        <f>'Volume adjustments'!Y77</f>
        <v>0</v>
      </c>
      <c r="AQ57" s="3"/>
    </row>
    <row r="58" spans="2:43" x14ac:dyDescent="0.25">
      <c r="E58" s="32"/>
      <c r="F58" s="37" t="s">
        <v>158</v>
      </c>
      <c r="G58" s="37" t="s">
        <v>207</v>
      </c>
      <c r="H58" s="82"/>
      <c r="I58" s="82"/>
      <c r="J58" s="125">
        <f>'Volume adjustments'!J88</f>
        <v>4874128.0393072097</v>
      </c>
      <c r="K58" s="125">
        <f>'Volume adjustments'!K88</f>
        <v>9899.7165488828668</v>
      </c>
      <c r="L58" s="125">
        <f>'Volume adjustments'!L88</f>
        <v>1485109.921576333</v>
      </c>
      <c r="M58" s="125">
        <f>'Volume adjustments'!M88</f>
        <v>1793.2522001264201</v>
      </c>
      <c r="N58" s="125">
        <f>'Volume adjustments'!N88</f>
        <v>1600581.2557186417</v>
      </c>
      <c r="O58" s="125">
        <f>'Volume adjustments'!O88</f>
        <v>124458.65238182069</v>
      </c>
      <c r="P58" s="125">
        <f>'Volume adjustments'!P88</f>
        <v>3773369.7704526572</v>
      </c>
      <c r="Q58" s="125">
        <f>'Volume adjustments'!Q88</f>
        <v>162629.81891852972</v>
      </c>
      <c r="R58" s="125">
        <f>'Volume adjustments'!R88</f>
        <v>365.44118174945635</v>
      </c>
      <c r="S58" s="125">
        <f>'Volume adjustments'!S88</f>
        <v>0</v>
      </c>
      <c r="T58" s="125">
        <f>'Volume adjustments'!T88</f>
        <v>23816.087660749628</v>
      </c>
      <c r="U58" s="125">
        <f>'Volume adjustments'!U88</f>
        <v>0</v>
      </c>
      <c r="V58" s="125">
        <f>'Volume adjustments'!V88</f>
        <v>4177.5270200851664</v>
      </c>
      <c r="W58" s="125">
        <f>'Volume adjustments'!W88</f>
        <v>0</v>
      </c>
      <c r="X58" s="125">
        <f>'Volume adjustments'!X88</f>
        <v>650372.22755506483</v>
      </c>
      <c r="Y58" s="125">
        <f>'Volume adjustments'!Y88</f>
        <v>0</v>
      </c>
      <c r="AQ58" s="3"/>
    </row>
    <row r="59" spans="2:43" x14ac:dyDescent="0.25">
      <c r="E59" s="32"/>
      <c r="F59" s="108" t="s">
        <v>503</v>
      </c>
      <c r="G59" s="108" t="s">
        <v>207</v>
      </c>
      <c r="H59" s="167"/>
      <c r="I59" s="167"/>
      <c r="J59" s="167">
        <f t="shared" ref="J59:Y59" si="0">SUM(J56:J58)</f>
        <v>8818228.7582495511</v>
      </c>
      <c r="K59" s="167">
        <f t="shared" si="0"/>
        <v>16184.815415823363</v>
      </c>
      <c r="L59" s="167">
        <f t="shared" si="0"/>
        <v>3167383.2014059275</v>
      </c>
      <c r="M59" s="167">
        <f t="shared" si="0"/>
        <v>2287.196883502676</v>
      </c>
      <c r="N59" s="167">
        <f t="shared" si="0"/>
        <v>3409695.2636651276</v>
      </c>
      <c r="O59" s="167">
        <f t="shared" si="0"/>
        <v>260454.51766782315</v>
      </c>
      <c r="P59" s="167">
        <f t="shared" si="0"/>
        <v>7110540.2820119858</v>
      </c>
      <c r="Q59" s="167">
        <f t="shared" si="0"/>
        <v>221537.09581764817</v>
      </c>
      <c r="R59" s="167">
        <f t="shared" si="0"/>
        <v>1100.4516707975949</v>
      </c>
      <c r="S59" s="167">
        <f t="shared" si="0"/>
        <v>0</v>
      </c>
      <c r="T59" s="167">
        <f t="shared" si="0"/>
        <v>50917.952575621086</v>
      </c>
      <c r="U59" s="167">
        <f t="shared" si="0"/>
        <v>0</v>
      </c>
      <c r="V59" s="167">
        <f t="shared" si="0"/>
        <v>7212.6682425852596</v>
      </c>
      <c r="W59" s="167">
        <f t="shared" si="0"/>
        <v>0</v>
      </c>
      <c r="X59" s="167">
        <f t="shared" si="0"/>
        <v>1433827.4175996934</v>
      </c>
      <c r="Y59" s="167">
        <f t="shared" si="0"/>
        <v>0</v>
      </c>
      <c r="AQ59" s="3"/>
    </row>
    <row r="60" spans="2:43" x14ac:dyDescent="0.25">
      <c r="D60" s="32"/>
      <c r="J60" s="63"/>
      <c r="L60" s="63"/>
      <c r="AQ60" s="3"/>
    </row>
    <row r="61" spans="2:43" x14ac:dyDescent="0.25">
      <c r="C61" s="32"/>
      <c r="E61" s="28" t="s">
        <v>241</v>
      </c>
      <c r="F61" s="28"/>
      <c r="G61" s="28" t="s">
        <v>167</v>
      </c>
      <c r="I61" t="s">
        <v>154</v>
      </c>
      <c r="J61" s="25">
        <f>'Inputs by customer type'!J15</f>
        <v>0.44397974678068536</v>
      </c>
      <c r="K61" s="25">
        <f>'Inputs by customer type'!K15</f>
        <v>0.13881219556888127</v>
      </c>
      <c r="L61" s="25">
        <f>'Inputs by customer type'!L15</f>
        <v>0.44123279801225818</v>
      </c>
      <c r="M61" s="25">
        <f>'Inputs by customer type'!M15</f>
        <v>0.23368731396163733</v>
      </c>
      <c r="N61" s="25">
        <f>'Inputs by customer type'!N15</f>
        <v>0.54167163750777603</v>
      </c>
      <c r="O61" s="25">
        <f>'Inputs by customer type'!O15</f>
        <v>0.58486871631825632</v>
      </c>
      <c r="P61" s="25">
        <f>'Inputs by customer type'!P15</f>
        <v>0.72784375510387</v>
      </c>
      <c r="Q61" s="25">
        <f>'Inputs by customer type'!Q15</f>
        <v>0.48743237159494751</v>
      </c>
      <c r="R61" s="70"/>
      <c r="S61" s="70"/>
      <c r="T61" s="70"/>
      <c r="U61" s="70"/>
      <c r="V61" s="70"/>
      <c r="W61" s="70"/>
      <c r="X61" s="70"/>
      <c r="Y61" s="70"/>
      <c r="AA61" t="s">
        <v>504</v>
      </c>
      <c r="AQ61" s="3"/>
    </row>
    <row r="63" spans="2:43" x14ac:dyDescent="0.25">
      <c r="B63" s="30" t="s">
        <v>505</v>
      </c>
      <c r="C63" s="30"/>
      <c r="D63" s="30"/>
      <c r="E63" s="30"/>
      <c r="F63" s="30"/>
      <c r="G63" s="30"/>
      <c r="H63" s="30"/>
      <c r="I63" s="30"/>
      <c r="J63" s="133"/>
      <c r="K63" s="30"/>
      <c r="L63" s="133"/>
      <c r="M63" s="30"/>
      <c r="N63" s="30"/>
      <c r="O63" s="30"/>
      <c r="P63" s="30"/>
      <c r="Q63" s="30"/>
      <c r="R63" s="30"/>
      <c r="S63" s="30"/>
      <c r="T63" s="30"/>
      <c r="U63" s="30"/>
      <c r="V63" s="30"/>
      <c r="W63" s="30"/>
      <c r="X63" s="30"/>
      <c r="Y63" s="30"/>
      <c r="Z63" s="30"/>
      <c r="AA63" s="30"/>
      <c r="AQ63" s="3"/>
    </row>
    <row r="64" spans="2:43" x14ac:dyDescent="0.25">
      <c r="C64" s="32"/>
      <c r="J64" s="63"/>
      <c r="L64" s="63"/>
      <c r="AQ64" s="3"/>
    </row>
    <row r="65" spans="3:43" x14ac:dyDescent="0.25">
      <c r="C65" s="29" t="s">
        <v>506</v>
      </c>
      <c r="J65" s="63"/>
      <c r="L65" s="63"/>
      <c r="AQ65" s="3"/>
    </row>
    <row r="66" spans="3:43" x14ac:dyDescent="0.25">
      <c r="C66" s="32"/>
      <c r="J66" s="63"/>
      <c r="L66" s="63"/>
      <c r="AQ66" s="3"/>
    </row>
    <row r="67" spans="3:43" x14ac:dyDescent="0.25">
      <c r="C67" s="31" t="str">
        <f ca="1">INDEX('Version control'!$H$34:$H$57,MATCH($A$1,'Version control'!$F$34:$F$57,0),1)&amp;"-B: System peak load, by unit rate"</f>
        <v>Section 106-B: System peak load, by unit rate</v>
      </c>
      <c r="D67" s="31"/>
      <c r="E67" s="31"/>
      <c r="F67" s="31"/>
      <c r="G67" s="31"/>
      <c r="H67" s="31"/>
      <c r="I67" s="31"/>
      <c r="J67" s="31"/>
      <c r="K67" s="31"/>
      <c r="L67" s="31"/>
      <c r="M67" s="31"/>
      <c r="N67" s="31"/>
      <c r="O67" s="31"/>
      <c r="P67" s="31"/>
      <c r="Q67" s="31"/>
      <c r="R67" s="31"/>
      <c r="S67" s="31"/>
      <c r="T67" s="31"/>
      <c r="U67" s="31"/>
      <c r="V67" s="31"/>
      <c r="W67" s="31"/>
      <c r="X67" s="31"/>
      <c r="Y67" s="31"/>
      <c r="Z67" s="31"/>
      <c r="AA67" s="31"/>
      <c r="AQ67" s="3"/>
    </row>
    <row r="68" spans="3:43" x14ac:dyDescent="0.25">
      <c r="H68" s="63"/>
      <c r="J68" s="63"/>
      <c r="K68" s="63"/>
      <c r="L68" s="63"/>
      <c r="M68" s="63"/>
      <c r="N68" s="63"/>
      <c r="O68" s="63"/>
      <c r="P68" s="63"/>
      <c r="Q68" s="63"/>
      <c r="R68" s="63"/>
      <c r="S68" s="63"/>
      <c r="T68" s="63"/>
      <c r="U68" s="63"/>
      <c r="V68" s="63"/>
      <c r="W68" s="63"/>
      <c r="X68" s="63"/>
      <c r="Y68" s="63"/>
    </row>
    <row r="69" spans="3:43" x14ac:dyDescent="0.25">
      <c r="E69" s="32" t="s">
        <v>507</v>
      </c>
      <c r="J69" s="63"/>
      <c r="L69" s="63"/>
      <c r="AQ69" s="3"/>
    </row>
    <row r="70" spans="3:43" x14ac:dyDescent="0.25">
      <c r="E70" s="32"/>
      <c r="F70" s="23" t="s">
        <v>191</v>
      </c>
      <c r="G70" s="23" t="s">
        <v>283</v>
      </c>
      <c r="H70" s="23"/>
      <c r="I70" s="23"/>
      <c r="J70" s="124">
        <f>'Pseudo-load coefficients'!J272</f>
        <v>16.002818503405528</v>
      </c>
      <c r="K70" s="124">
        <f>'Pseudo-load coefficients'!K272</f>
        <v>16.002818503405528</v>
      </c>
      <c r="L70" s="124">
        <f>'Pseudo-load coefficients'!L272</f>
        <v>13.862179208737285</v>
      </c>
      <c r="M70" s="124">
        <f>'Pseudo-load coefficients'!M272</f>
        <v>13.862179208737285</v>
      </c>
      <c r="N70" s="124">
        <f>'Pseudo-load coefficients'!N272</f>
        <v>11.784149480233719</v>
      </c>
      <c r="O70" s="124">
        <f>'Pseudo-load coefficients'!O272</f>
        <v>10.841386472217369</v>
      </c>
      <c r="P70" s="124">
        <f>'Pseudo-load coefficients'!P272</f>
        <v>9.875970399429038</v>
      </c>
      <c r="Q70" s="124">
        <f>'Pseudo-load coefficients'!Q272</f>
        <v>31.50593585154451</v>
      </c>
      <c r="R70" s="124">
        <f>'Pseudo-load coefficients'!R272</f>
        <v>9.66398982153828</v>
      </c>
      <c r="S70" s="124">
        <f>'Pseudo-load coefficients'!S272</f>
        <v>9.66398982153828</v>
      </c>
      <c r="T70" s="124">
        <f>'Pseudo-load coefficients'!T272</f>
        <v>9.66398982153828</v>
      </c>
      <c r="U70" s="124">
        <f>'Pseudo-load coefficients'!U272</f>
        <v>9.66398982153828</v>
      </c>
      <c r="V70" s="124">
        <f>'Pseudo-load coefficients'!V272</f>
        <v>9.66398982153828</v>
      </c>
      <c r="W70" s="124">
        <f>'Pseudo-load coefficients'!W272</f>
        <v>9.66398982153828</v>
      </c>
      <c r="X70" s="124">
        <f>'Pseudo-load coefficients'!X272</f>
        <v>9.66398982153828</v>
      </c>
      <c r="Y70" s="124">
        <f>'Pseudo-load coefficients'!Y272</f>
        <v>9.66398982153828</v>
      </c>
      <c r="AQ70" s="3"/>
    </row>
    <row r="71" spans="3:43" x14ac:dyDescent="0.25">
      <c r="E71" s="32"/>
      <c r="F71" t="s">
        <v>192</v>
      </c>
      <c r="G71" t="s">
        <v>283</v>
      </c>
      <c r="J71" s="120">
        <f>'Pseudo-load coefficients'!J273</f>
        <v>13.729062034241984</v>
      </c>
      <c r="K71" s="120">
        <f>'Pseudo-load coefficients'!K273</f>
        <v>13.729062034241984</v>
      </c>
      <c r="L71" s="120">
        <f>'Pseudo-load coefficients'!L273</f>
        <v>11.892574938972977</v>
      </c>
      <c r="M71" s="120">
        <f>'Pseudo-load coefficients'!M273</f>
        <v>11.892574938972977</v>
      </c>
      <c r="N71" s="120">
        <f>'Pseudo-load coefficients'!N273</f>
        <v>10.109801545301531</v>
      </c>
      <c r="O71" s="120">
        <f>'Pseudo-load coefficients'!O273</f>
        <v>9.3009907837540826</v>
      </c>
      <c r="P71" s="120">
        <f>'Pseudo-load coefficients'!P273</f>
        <v>8.472745612483493</v>
      </c>
      <c r="Q71" s="120">
        <f>'Pseudo-load coefficients'!Q273</f>
        <v>30.711180304554297</v>
      </c>
      <c r="R71" s="120">
        <f>'Pseudo-load coefficients'!R273</f>
        <v>8.2908842420444451</v>
      </c>
      <c r="S71" s="120">
        <f>'Pseudo-load coefficients'!S273</f>
        <v>8.2908842420444451</v>
      </c>
      <c r="T71" s="120">
        <f>'Pseudo-load coefficients'!T273</f>
        <v>8.2908842420444451</v>
      </c>
      <c r="U71" s="120">
        <f>'Pseudo-load coefficients'!U273</f>
        <v>8.2908842420444451</v>
      </c>
      <c r="V71" s="120">
        <f>'Pseudo-load coefficients'!V273</f>
        <v>8.2908842420444451</v>
      </c>
      <c r="W71" s="120">
        <f>'Pseudo-load coefficients'!W273</f>
        <v>8.2908842420444451</v>
      </c>
      <c r="X71" s="120">
        <f>'Pseudo-load coefficients'!X273</f>
        <v>8.2908842420444451</v>
      </c>
      <c r="Y71" s="120">
        <f>'Pseudo-load coefficients'!Y273</f>
        <v>8.2908842420444451</v>
      </c>
      <c r="AQ71" s="3"/>
    </row>
    <row r="72" spans="3:43" x14ac:dyDescent="0.25">
      <c r="E72" s="32"/>
      <c r="F72" t="s">
        <v>193</v>
      </c>
      <c r="G72" t="s">
        <v>283</v>
      </c>
      <c r="J72" s="120">
        <f>'Pseudo-load coefficients'!J274</f>
        <v>13.729062034241984</v>
      </c>
      <c r="K72" s="120">
        <f>'Pseudo-load coefficients'!K274</f>
        <v>13.729062034241984</v>
      </c>
      <c r="L72" s="120">
        <f>'Pseudo-load coefficients'!L274</f>
        <v>11.892574938972977</v>
      </c>
      <c r="M72" s="120">
        <f>'Pseudo-load coefficients'!M274</f>
        <v>11.892574938972977</v>
      </c>
      <c r="N72" s="120">
        <f>'Pseudo-load coefficients'!N274</f>
        <v>10.109801545301531</v>
      </c>
      <c r="O72" s="120">
        <f>'Pseudo-load coefficients'!O274</f>
        <v>9.3009907837540826</v>
      </c>
      <c r="P72" s="120">
        <f>'Pseudo-load coefficients'!P274</f>
        <v>8.472745612483493</v>
      </c>
      <c r="Q72" s="120">
        <f>'Pseudo-load coefficients'!Q274</f>
        <v>30.711180304554297</v>
      </c>
      <c r="R72" s="120">
        <f>'Pseudo-load coefficients'!R274</f>
        <v>8.2908842420444451</v>
      </c>
      <c r="S72" s="120">
        <f>'Pseudo-load coefficients'!S274</f>
        <v>8.2908842420444451</v>
      </c>
      <c r="T72" s="120">
        <f>'Pseudo-load coefficients'!T274</f>
        <v>8.2908842420444451</v>
      </c>
      <c r="U72" s="120">
        <f>'Pseudo-load coefficients'!U274</f>
        <v>8.2908842420444451</v>
      </c>
      <c r="V72" s="120">
        <f>'Pseudo-load coefficients'!V274</f>
        <v>8.2908842420444451</v>
      </c>
      <c r="W72" s="120">
        <f>'Pseudo-load coefficients'!W274</f>
        <v>8.2908842420444451</v>
      </c>
      <c r="X72" s="120">
        <f>'Pseudo-load coefficients'!X274</f>
        <v>8.2908842420444451</v>
      </c>
      <c r="Y72" s="120">
        <f>'Pseudo-load coefficients'!Y274</f>
        <v>8.2908842420444451</v>
      </c>
      <c r="AQ72" s="3"/>
    </row>
    <row r="73" spans="3:43" x14ac:dyDescent="0.25">
      <c r="E73" s="32"/>
      <c r="F73" t="s">
        <v>194</v>
      </c>
      <c r="G73" t="s">
        <v>283</v>
      </c>
      <c r="J73" s="120">
        <f>'Pseudo-load coefficients'!J275</f>
        <v>11.535806792422333</v>
      </c>
      <c r="K73" s="120">
        <f>'Pseudo-load coefficients'!K275</f>
        <v>11.535806792422333</v>
      </c>
      <c r="L73" s="120">
        <f>'Pseudo-load coefficients'!L275</f>
        <v>9.9927035378109643</v>
      </c>
      <c r="M73" s="120">
        <f>'Pseudo-load coefficients'!M275</f>
        <v>9.9927035378109643</v>
      </c>
      <c r="N73" s="120">
        <f>'Pseudo-load coefficients'!N275</f>
        <v>8.4947330739313927</v>
      </c>
      <c r="O73" s="120">
        <f>'Pseudo-load coefficients'!O275</f>
        <v>7.8151320455747255</v>
      </c>
      <c r="P73" s="120">
        <f>'Pseudo-load coefficients'!P275</f>
        <v>7.1192013076478204</v>
      </c>
      <c r="Q73" s="120">
        <f>'Pseudo-load coefficients'!Q275</f>
        <v>26.00604646517473</v>
      </c>
      <c r="R73" s="120">
        <f>'Pseudo-load coefficients'!R275</f>
        <v>6.9663927889626018</v>
      </c>
      <c r="S73" s="120">
        <f>'Pseudo-load coefficients'!S275</f>
        <v>6.9663927889626018</v>
      </c>
      <c r="T73" s="120">
        <f>'Pseudo-load coefficients'!T275</f>
        <v>6.9663927889626018</v>
      </c>
      <c r="U73" s="120">
        <f>'Pseudo-load coefficients'!U275</f>
        <v>6.9663927889626018</v>
      </c>
      <c r="V73" s="120">
        <f>'Pseudo-load coefficients'!V275</f>
        <v>6.9663927889626018</v>
      </c>
      <c r="W73" s="120">
        <f>'Pseudo-load coefficients'!W275</f>
        <v>6.9663927889626018</v>
      </c>
      <c r="X73" s="120">
        <f>'Pseudo-load coefficients'!X275</f>
        <v>6.9663927889626018</v>
      </c>
      <c r="Y73" s="120">
        <f>'Pseudo-load coefficients'!Y275</f>
        <v>6.9663927889626018</v>
      </c>
      <c r="AQ73" s="3"/>
    </row>
    <row r="74" spans="3:43" x14ac:dyDescent="0.25">
      <c r="E74" s="32"/>
      <c r="F74" t="s">
        <v>195</v>
      </c>
      <c r="G74" t="s">
        <v>283</v>
      </c>
      <c r="J74" s="120">
        <f>'Pseudo-load coefficients'!J276</f>
        <v>11.535806792422333</v>
      </c>
      <c r="K74" s="120">
        <f>'Pseudo-load coefficients'!K276</f>
        <v>11.535806792422333</v>
      </c>
      <c r="L74" s="120">
        <f>'Pseudo-load coefficients'!L276</f>
        <v>9.9927035378109643</v>
      </c>
      <c r="M74" s="120">
        <f>'Pseudo-load coefficients'!M276</f>
        <v>9.9927035378109643</v>
      </c>
      <c r="N74" s="120">
        <f>'Pseudo-load coefficients'!N276</f>
        <v>8.4947330739313927</v>
      </c>
      <c r="O74" s="120">
        <f>'Pseudo-load coefficients'!O276</f>
        <v>7.8151320455747255</v>
      </c>
      <c r="P74" s="120">
        <f>'Pseudo-load coefficients'!P276</f>
        <v>7.1192013076478204</v>
      </c>
      <c r="Q74" s="120">
        <f>'Pseudo-load coefficients'!Q276</f>
        <v>26.00604646517473</v>
      </c>
      <c r="R74" s="120">
        <f>'Pseudo-load coefficients'!R276</f>
        <v>6.9663927889626018</v>
      </c>
      <c r="S74" s="120">
        <f>'Pseudo-load coefficients'!S276</f>
        <v>6.9663927889626018</v>
      </c>
      <c r="T74" s="120">
        <f>'Pseudo-load coefficients'!T276</f>
        <v>6.9663927889626018</v>
      </c>
      <c r="U74" s="120">
        <f>'Pseudo-load coefficients'!U276</f>
        <v>6.9663927889626018</v>
      </c>
      <c r="V74" s="120">
        <f>'Pseudo-load coefficients'!V276</f>
        <v>6.9663927889626018</v>
      </c>
      <c r="W74" s="120">
        <f>'Pseudo-load coefficients'!W276</f>
        <v>6.9663927889626018</v>
      </c>
      <c r="X74" s="120">
        <f>'Pseudo-load coefficients'!X276</f>
        <v>6.9663927889626018</v>
      </c>
      <c r="Y74" s="120">
        <f>'Pseudo-load coefficients'!Y276</f>
        <v>6.9663927889626018</v>
      </c>
      <c r="AQ74" s="3"/>
    </row>
    <row r="75" spans="3:43" x14ac:dyDescent="0.25">
      <c r="E75" s="32"/>
      <c r="F75" t="s">
        <v>196</v>
      </c>
      <c r="G75" t="s">
        <v>283</v>
      </c>
      <c r="J75" s="120">
        <f>'Pseudo-load coefficients'!J277</f>
        <v>13.729062034241984</v>
      </c>
      <c r="K75" s="120">
        <f>'Pseudo-load coefficients'!K277</f>
        <v>13.729062034241984</v>
      </c>
      <c r="L75" s="120">
        <f>'Pseudo-load coefficients'!L277</f>
        <v>11.892574938972977</v>
      </c>
      <c r="M75" s="120">
        <f>'Pseudo-load coefficients'!M277</f>
        <v>11.892574938972977</v>
      </c>
      <c r="N75" s="120">
        <f>'Pseudo-load coefficients'!N277</f>
        <v>10.109801545301531</v>
      </c>
      <c r="O75" s="120">
        <f>'Pseudo-load coefficients'!O277</f>
        <v>9.3009907837540826</v>
      </c>
      <c r="P75" s="120">
        <f>'Pseudo-load coefficients'!P277</f>
        <v>8.472745612483493</v>
      </c>
      <c r="Q75" s="120">
        <f>'Pseudo-load coefficients'!Q277</f>
        <v>30.711180304554297</v>
      </c>
      <c r="R75" s="120">
        <f>'Pseudo-load coefficients'!R277</f>
        <v>8.2908842420444451</v>
      </c>
      <c r="S75" s="120">
        <f>'Pseudo-load coefficients'!S277</f>
        <v>8.2908842420444451</v>
      </c>
      <c r="T75" s="120">
        <f>'Pseudo-load coefficients'!T277</f>
        <v>8.2908842420444451</v>
      </c>
      <c r="U75" s="120">
        <f>'Pseudo-load coefficients'!U277</f>
        <v>8.2908842420444451</v>
      </c>
      <c r="V75" s="120">
        <f>'Pseudo-load coefficients'!V277</f>
        <v>8.2908842420444451</v>
      </c>
      <c r="W75" s="120">
        <f>'Pseudo-load coefficients'!W277</f>
        <v>8.2908842420444451</v>
      </c>
      <c r="X75" s="120">
        <f>'Pseudo-load coefficients'!X277</f>
        <v>8.2908842420444451</v>
      </c>
      <c r="Y75" s="120">
        <f>'Pseudo-load coefficients'!Y277</f>
        <v>8.2908842420444451</v>
      </c>
      <c r="AQ75" s="3"/>
    </row>
    <row r="76" spans="3:43" x14ac:dyDescent="0.25">
      <c r="E76" s="32"/>
      <c r="F76" t="s">
        <v>197</v>
      </c>
      <c r="G76" t="s">
        <v>283</v>
      </c>
      <c r="J76" s="120">
        <f>'Pseudo-load coefficients'!J278</f>
        <v>11.535806792422333</v>
      </c>
      <c r="K76" s="120">
        <f>'Pseudo-load coefficients'!K278</f>
        <v>11.535806792422333</v>
      </c>
      <c r="L76" s="120">
        <f>'Pseudo-load coefficients'!L278</f>
        <v>9.9927035378109643</v>
      </c>
      <c r="M76" s="120">
        <f>'Pseudo-load coefficients'!M278</f>
        <v>9.9927035378109643</v>
      </c>
      <c r="N76" s="120">
        <f>'Pseudo-load coefficients'!N278</f>
        <v>8.4947330739313927</v>
      </c>
      <c r="O76" s="120">
        <f>'Pseudo-load coefficients'!O278</f>
        <v>7.8151320455747255</v>
      </c>
      <c r="P76" s="120">
        <f>'Pseudo-load coefficients'!P278</f>
        <v>7.1192013076478204</v>
      </c>
      <c r="Q76" s="120">
        <f>'Pseudo-load coefficients'!Q278</f>
        <v>26.00604646517473</v>
      </c>
      <c r="R76" s="120">
        <f>'Pseudo-load coefficients'!R278</f>
        <v>6.9663927889626018</v>
      </c>
      <c r="S76" s="120">
        <f>'Pseudo-load coefficients'!S278</f>
        <v>6.9663927889626018</v>
      </c>
      <c r="T76" s="120">
        <f>'Pseudo-load coefficients'!T278</f>
        <v>6.9663927889626018</v>
      </c>
      <c r="U76" s="120">
        <f>'Pseudo-load coefficients'!U278</f>
        <v>6.9663927889626018</v>
      </c>
      <c r="V76" s="120">
        <f>'Pseudo-load coefficients'!V278</f>
        <v>6.9663927889626018</v>
      </c>
      <c r="W76" s="120">
        <f>'Pseudo-load coefficients'!W278</f>
        <v>6.9663927889626018</v>
      </c>
      <c r="X76" s="120">
        <f>'Pseudo-load coefficients'!X278</f>
        <v>6.9663927889626018</v>
      </c>
      <c r="Y76" s="120">
        <f>'Pseudo-load coefficients'!Y278</f>
        <v>6.9663927889626018</v>
      </c>
      <c r="AQ76" s="3"/>
    </row>
    <row r="77" spans="3:43" x14ac:dyDescent="0.25">
      <c r="E77" s="32"/>
      <c r="F77" t="s">
        <v>198</v>
      </c>
      <c r="G77" t="s">
        <v>283</v>
      </c>
      <c r="J77" s="120">
        <f>'Pseudo-load coefficients'!J279</f>
        <v>11.535806792422333</v>
      </c>
      <c r="K77" s="120">
        <f>'Pseudo-load coefficients'!K279</f>
        <v>11.535806792422333</v>
      </c>
      <c r="L77" s="120">
        <f>'Pseudo-load coefficients'!L279</f>
        <v>9.9927035378109643</v>
      </c>
      <c r="M77" s="120">
        <f>'Pseudo-load coefficients'!M279</f>
        <v>9.9927035378109643</v>
      </c>
      <c r="N77" s="120">
        <f>'Pseudo-load coefficients'!N279</f>
        <v>8.4947330739313927</v>
      </c>
      <c r="O77" s="120">
        <f>'Pseudo-load coefficients'!O279</f>
        <v>7.8151320455747255</v>
      </c>
      <c r="P77" s="120">
        <f>'Pseudo-load coefficients'!P279</f>
        <v>7.1192013076478204</v>
      </c>
      <c r="Q77" s="120">
        <f>'Pseudo-load coefficients'!Q279</f>
        <v>26.00604646517473</v>
      </c>
      <c r="R77" s="120">
        <f>'Pseudo-load coefficients'!R279</f>
        <v>6.9663927889626018</v>
      </c>
      <c r="S77" s="120">
        <f>'Pseudo-load coefficients'!S279</f>
        <v>6.9663927889626018</v>
      </c>
      <c r="T77" s="120">
        <f>'Pseudo-load coefficients'!T279</f>
        <v>6.9663927889626018</v>
      </c>
      <c r="U77" s="120">
        <f>'Pseudo-load coefficients'!U279</f>
        <v>6.9663927889626018</v>
      </c>
      <c r="V77" s="120">
        <f>'Pseudo-load coefficients'!V279</f>
        <v>6.9663927889626018</v>
      </c>
      <c r="W77" s="120">
        <f>'Pseudo-load coefficients'!W279</f>
        <v>6.9663927889626018</v>
      </c>
      <c r="X77" s="120">
        <f>'Pseudo-load coefficients'!X279</f>
        <v>6.9663927889626018</v>
      </c>
      <c r="Y77" s="120">
        <f>'Pseudo-load coefficients'!Y279</f>
        <v>6.9663927889626018</v>
      </c>
      <c r="AQ77" s="3"/>
    </row>
    <row r="78" spans="3:43" x14ac:dyDescent="0.25">
      <c r="E78" s="32"/>
      <c r="F78" s="37" t="s">
        <v>199</v>
      </c>
      <c r="G78" s="37" t="s">
        <v>283</v>
      </c>
      <c r="H78" s="37"/>
      <c r="I78" s="37"/>
      <c r="J78" s="125">
        <f>'Pseudo-load coefficients'!J280</f>
        <v>11.535806792422333</v>
      </c>
      <c r="K78" s="125">
        <f>'Pseudo-load coefficients'!K280</f>
        <v>11.535806792422333</v>
      </c>
      <c r="L78" s="125">
        <f>'Pseudo-load coefficients'!L280</f>
        <v>9.9927035378109643</v>
      </c>
      <c r="M78" s="125">
        <f>'Pseudo-load coefficients'!M280</f>
        <v>9.9927035378109643</v>
      </c>
      <c r="N78" s="125">
        <f>'Pseudo-load coefficients'!N280</f>
        <v>8.4947330739313927</v>
      </c>
      <c r="O78" s="125">
        <f>'Pseudo-load coefficients'!O280</f>
        <v>7.8151320455747255</v>
      </c>
      <c r="P78" s="125">
        <f>'Pseudo-load coefficients'!P280</f>
        <v>7.1192013076478204</v>
      </c>
      <c r="Q78" s="125">
        <f>'Pseudo-load coefficients'!Q280</f>
        <v>26.00604646517473</v>
      </c>
      <c r="R78" s="125">
        <f>'Pseudo-load coefficients'!R280</f>
        <v>6.9663927889626018</v>
      </c>
      <c r="S78" s="125">
        <f>'Pseudo-load coefficients'!S280</f>
        <v>6.9663927889626018</v>
      </c>
      <c r="T78" s="125">
        <f>'Pseudo-load coefficients'!T280</f>
        <v>6.9663927889626018</v>
      </c>
      <c r="U78" s="125">
        <f>'Pseudo-load coefficients'!U280</f>
        <v>6.9663927889626018</v>
      </c>
      <c r="V78" s="125">
        <f>'Pseudo-load coefficients'!V280</f>
        <v>6.9663927889626018</v>
      </c>
      <c r="W78" s="125">
        <f>'Pseudo-load coefficients'!W280</f>
        <v>6.9663927889626018</v>
      </c>
      <c r="X78" s="125">
        <f>'Pseudo-load coefficients'!X280</f>
        <v>6.9663927889626018</v>
      </c>
      <c r="Y78" s="125">
        <f>'Pseudo-load coefficients'!Y280</f>
        <v>6.9663927889626018</v>
      </c>
      <c r="AQ78" s="3"/>
    </row>
    <row r="79" spans="3:43" x14ac:dyDescent="0.25">
      <c r="E79" s="32"/>
      <c r="J79" s="89"/>
      <c r="K79" s="89"/>
      <c r="L79" s="89"/>
      <c r="M79" s="89"/>
      <c r="N79" s="89"/>
      <c r="O79" s="89"/>
      <c r="P79" s="89"/>
      <c r="Q79" s="89"/>
      <c r="R79" s="89"/>
      <c r="S79" s="89"/>
      <c r="T79" s="89"/>
      <c r="U79" s="89"/>
      <c r="V79" s="89"/>
      <c r="W79" s="89"/>
      <c r="X79" s="89"/>
      <c r="Y79" s="89"/>
      <c r="AQ79" s="3"/>
    </row>
    <row r="80" spans="3:43" x14ac:dyDescent="0.25">
      <c r="E80" s="32" t="s">
        <v>508</v>
      </c>
      <c r="J80" s="89"/>
      <c r="K80" s="89"/>
      <c r="L80" s="89"/>
      <c r="M80" s="89"/>
      <c r="N80" s="89"/>
      <c r="O80" s="89"/>
      <c r="P80" s="89"/>
      <c r="Q80" s="89"/>
      <c r="R80" s="89"/>
      <c r="S80" s="89"/>
      <c r="T80" s="89"/>
      <c r="U80" s="89"/>
      <c r="V80" s="89"/>
      <c r="W80" s="89"/>
      <c r="X80" s="89"/>
      <c r="Y80" s="89"/>
      <c r="AQ80" s="3"/>
    </row>
    <row r="81" spans="5:43" x14ac:dyDescent="0.25">
      <c r="E81" s="29" t="s">
        <v>509</v>
      </c>
      <c r="J81" s="89"/>
      <c r="K81" s="89"/>
      <c r="L81" s="89"/>
      <c r="M81" s="89"/>
      <c r="N81" s="89"/>
      <c r="O81" s="89"/>
      <c r="P81" s="89"/>
      <c r="Q81" s="89"/>
      <c r="R81" s="89"/>
      <c r="S81" s="89"/>
      <c r="T81" s="89"/>
      <c r="U81" s="89"/>
      <c r="V81" s="89"/>
      <c r="W81" s="89"/>
      <c r="X81" s="89"/>
      <c r="Y81" s="89"/>
      <c r="AQ81" s="3"/>
    </row>
    <row r="82" spans="5:43" x14ac:dyDescent="0.25">
      <c r="E82" s="32"/>
      <c r="F82" s="23" t="s">
        <v>191</v>
      </c>
      <c r="G82" s="23" t="s">
        <v>172</v>
      </c>
      <c r="H82" s="23"/>
      <c r="I82" s="23"/>
      <c r="J82" s="158">
        <f t="shared" ref="J82:Y82" si="1">J$56 * J34 * J70 / hours_in_year / $H45</f>
        <v>1960.640327042234</v>
      </c>
      <c r="K82" s="158">
        <f t="shared" si="1"/>
        <v>1.6635889881094752</v>
      </c>
      <c r="L82" s="158">
        <f t="shared" si="1"/>
        <v>560.48453581956653</v>
      </c>
      <c r="M82" s="158">
        <f t="shared" si="1"/>
        <v>5.0939684575970964E-2</v>
      </c>
      <c r="N82" s="158">
        <f t="shared" si="1"/>
        <v>503.46437991778515</v>
      </c>
      <c r="O82" s="158">
        <f t="shared" si="1"/>
        <v>37.388775690070126</v>
      </c>
      <c r="P82" s="158">
        <f t="shared" si="1"/>
        <v>809.11630545608205</v>
      </c>
      <c r="Q82" s="158">
        <f t="shared" si="1"/>
        <v>38.028848739984362</v>
      </c>
      <c r="R82" s="158">
        <f t="shared" si="1"/>
        <v>-0.13471807071956443</v>
      </c>
      <c r="S82" s="158">
        <f t="shared" si="1"/>
        <v>0</v>
      </c>
      <c r="T82" s="158">
        <f t="shared" si="1"/>
        <v>-5.4148544178595914</v>
      </c>
      <c r="U82" s="158">
        <f t="shared" si="1"/>
        <v>0</v>
      </c>
      <c r="V82" s="158">
        <f t="shared" si="1"/>
        <v>-0.71042858091558525</v>
      </c>
      <c r="W82" s="158">
        <f t="shared" si="1"/>
        <v>0</v>
      </c>
      <c r="X82" s="158">
        <f t="shared" si="1"/>
        <v>-262.82578090147655</v>
      </c>
      <c r="Y82" s="158">
        <f t="shared" si="1"/>
        <v>0</v>
      </c>
      <c r="AQ82" s="3"/>
    </row>
    <row r="83" spans="5:43" x14ac:dyDescent="0.25">
      <c r="E83" s="32"/>
      <c r="F83" t="s">
        <v>192</v>
      </c>
      <c r="G83" t="s">
        <v>172</v>
      </c>
      <c r="J83" s="89">
        <f t="shared" ref="J83:Y83" si="2">J$56 * J35 * J71 / hours_in_year / $H46</f>
        <v>1677.0321395713092</v>
      </c>
      <c r="K83" s="89">
        <f t="shared" si="2"/>
        <v>1.4229495137974919</v>
      </c>
      <c r="L83" s="89">
        <f t="shared" si="2"/>
        <v>479.41000056859099</v>
      </c>
      <c r="M83" s="89">
        <f t="shared" si="2"/>
        <v>4.3571218563275033E-2</v>
      </c>
      <c r="N83" s="89">
        <f t="shared" si="2"/>
        <v>430.63785570767669</v>
      </c>
      <c r="O83" s="89">
        <f t="shared" si="2"/>
        <v>31.98045945839581</v>
      </c>
      <c r="P83" s="89">
        <f t="shared" si="2"/>
        <v>692.0769863731449</v>
      </c>
      <c r="Q83" s="89">
        <f t="shared" si="2"/>
        <v>36.958672904747687</v>
      </c>
      <c r="R83" s="89">
        <f t="shared" si="2"/>
        <v>-0.11523099431427915</v>
      </c>
      <c r="S83" s="89">
        <f t="shared" si="2"/>
        <v>0</v>
      </c>
      <c r="T83" s="89">
        <f t="shared" si="2"/>
        <v>-4.6315914064408696</v>
      </c>
      <c r="U83" s="89">
        <f t="shared" si="2"/>
        <v>0</v>
      </c>
      <c r="V83" s="89">
        <f t="shared" si="2"/>
        <v>-0.60766451991875647</v>
      </c>
      <c r="W83" s="89">
        <f t="shared" si="2"/>
        <v>0</v>
      </c>
      <c r="X83" s="89">
        <f t="shared" si="2"/>
        <v>-224.80782201630646</v>
      </c>
      <c r="Y83" s="89">
        <f t="shared" si="2"/>
        <v>0</v>
      </c>
      <c r="AQ83" s="3"/>
    </row>
    <row r="84" spans="5:43" x14ac:dyDescent="0.25">
      <c r="E84" s="32"/>
      <c r="F84" t="s">
        <v>193</v>
      </c>
      <c r="G84" t="s">
        <v>172</v>
      </c>
      <c r="J84" s="89">
        <f t="shared" ref="J84:Y84" si="3">J$56 * J36 * J72 / hours_in_year / $H47</f>
        <v>1546.5545785748279</v>
      </c>
      <c r="K84" s="89">
        <f t="shared" si="3"/>
        <v>1.3122402568902953</v>
      </c>
      <c r="L84" s="89">
        <f t="shared" si="3"/>
        <v>442.11062739885466</v>
      </c>
      <c r="M84" s="89">
        <f t="shared" si="3"/>
        <v>4.0181261869163022E-2</v>
      </c>
      <c r="N84" s="89">
        <f t="shared" si="3"/>
        <v>397.13308513133245</v>
      </c>
      <c r="O84" s="89">
        <f t="shared" si="3"/>
        <v>29.492294651521568</v>
      </c>
      <c r="P84" s="89">
        <f t="shared" si="3"/>
        <v>638.23155606025523</v>
      </c>
      <c r="Q84" s="89">
        <f t="shared" si="3"/>
        <v>34.083189850790866</v>
      </c>
      <c r="R84" s="89">
        <f t="shared" si="3"/>
        <v>-0.10626571646744555</v>
      </c>
      <c r="S84" s="89">
        <f t="shared" si="3"/>
        <v>0</v>
      </c>
      <c r="T84" s="89">
        <f t="shared" si="3"/>
        <v>-4.2712412760020175</v>
      </c>
      <c r="U84" s="89">
        <f t="shared" si="3"/>
        <v>0</v>
      </c>
      <c r="V84" s="89">
        <f t="shared" si="3"/>
        <v>-0.56038660401467322</v>
      </c>
      <c r="W84" s="89">
        <f t="shared" si="3"/>
        <v>0</v>
      </c>
      <c r="X84" s="89">
        <f t="shared" si="3"/>
        <v>-207.31717552391609</v>
      </c>
      <c r="Y84" s="89">
        <f t="shared" si="3"/>
        <v>0</v>
      </c>
      <c r="AQ84" s="3"/>
    </row>
    <row r="85" spans="5:43" x14ac:dyDescent="0.25">
      <c r="E85" s="32"/>
      <c r="F85" t="s">
        <v>194</v>
      </c>
      <c r="G85" t="s">
        <v>172</v>
      </c>
      <c r="J85" s="89">
        <f t="shared" ref="J85:Y85" si="4">J$56 * J37 * J73 / hours_in_year / $H48</f>
        <v>1289.2358783286716</v>
      </c>
      <c r="K85" s="89">
        <f t="shared" si="4"/>
        <v>1.0939072203511937</v>
      </c>
      <c r="L85" s="89">
        <f t="shared" si="4"/>
        <v>368.55141805486852</v>
      </c>
      <c r="M85" s="89">
        <f t="shared" si="4"/>
        <v>3.3495826888943071E-2</v>
      </c>
      <c r="N85" s="89">
        <f t="shared" si="4"/>
        <v>331.05732504732043</v>
      </c>
      <c r="O85" s="89">
        <f t="shared" si="4"/>
        <v>24.585310422100129</v>
      </c>
      <c r="P85" s="89">
        <f t="shared" si="4"/>
        <v>532.04137257973025</v>
      </c>
      <c r="Q85" s="89">
        <f t="shared" si="4"/>
        <v>28.633740571394835</v>
      </c>
      <c r="R85" s="89">
        <f t="shared" si="4"/>
        <v>-8.8585023900276214E-2</v>
      </c>
      <c r="S85" s="89">
        <f t="shared" si="4"/>
        <v>0</v>
      </c>
      <c r="T85" s="89">
        <f t="shared" si="4"/>
        <v>-3.5605840067374679</v>
      </c>
      <c r="U85" s="89">
        <f t="shared" si="4"/>
        <v>0</v>
      </c>
      <c r="V85" s="89">
        <f t="shared" si="4"/>
        <v>-0.46714841211504193</v>
      </c>
      <c r="W85" s="89">
        <f t="shared" si="4"/>
        <v>0</v>
      </c>
      <c r="X85" s="89">
        <f t="shared" si="4"/>
        <v>-172.82334848182234</v>
      </c>
      <c r="Y85" s="89">
        <f t="shared" si="4"/>
        <v>0</v>
      </c>
      <c r="AQ85" s="3"/>
    </row>
    <row r="86" spans="5:43" x14ac:dyDescent="0.25">
      <c r="E86" s="32"/>
      <c r="F86" t="s">
        <v>195</v>
      </c>
      <c r="G86" t="s">
        <v>172</v>
      </c>
      <c r="J86" s="89">
        <f t="shared" ref="J86:Y86" si="5">J$56 * J38 * J74 / hours_in_year / $H49</f>
        <v>1281.6521378679147</v>
      </c>
      <c r="K86" s="89">
        <f t="shared" si="5"/>
        <v>1.0874724719961866</v>
      </c>
      <c r="L86" s="89">
        <f t="shared" si="5"/>
        <v>366.3834685368987</v>
      </c>
      <c r="M86" s="89">
        <f t="shared" si="5"/>
        <v>3.3298792613125759E-2</v>
      </c>
      <c r="N86" s="89">
        <f t="shared" si="5"/>
        <v>329.10992901763029</v>
      </c>
      <c r="O86" s="89">
        <f t="shared" si="5"/>
        <v>24.440690949028951</v>
      </c>
      <c r="P86" s="89">
        <f t="shared" si="5"/>
        <v>528.91171744690837</v>
      </c>
      <c r="Q86" s="89">
        <f t="shared" si="5"/>
        <v>28.465306803327806</v>
      </c>
      <c r="R86" s="89">
        <f t="shared" si="5"/>
        <v>-8.8063935524392248E-2</v>
      </c>
      <c r="S86" s="89">
        <f t="shared" si="5"/>
        <v>0</v>
      </c>
      <c r="T86" s="89">
        <f t="shared" si="5"/>
        <v>-3.53963939493313</v>
      </c>
      <c r="U86" s="89">
        <f t="shared" si="5"/>
        <v>0</v>
      </c>
      <c r="V86" s="89">
        <f t="shared" si="5"/>
        <v>-0.4644004802790711</v>
      </c>
      <c r="W86" s="89">
        <f t="shared" si="5"/>
        <v>0</v>
      </c>
      <c r="X86" s="89">
        <f t="shared" si="5"/>
        <v>-171.80674054957632</v>
      </c>
      <c r="Y86" s="89">
        <f t="shared" si="5"/>
        <v>0</v>
      </c>
      <c r="AQ86" s="3"/>
    </row>
    <row r="87" spans="5:43" x14ac:dyDescent="0.25">
      <c r="E87" s="32"/>
      <c r="F87" t="s">
        <v>196</v>
      </c>
      <c r="G87" t="s">
        <v>172</v>
      </c>
      <c r="J87" s="89">
        <f t="shared" ref="J87:Y87" si="6">J$56 * J39 * J75 / hours_in_year / $H50</f>
        <v>123.75424504288868</v>
      </c>
      <c r="K87" s="89">
        <f t="shared" si="6"/>
        <v>0.10500457245808577</v>
      </c>
      <c r="L87" s="89">
        <f t="shared" si="6"/>
        <v>35.377391575538184</v>
      </c>
      <c r="M87" s="89">
        <f t="shared" si="6"/>
        <v>3.2152772339086827E-3</v>
      </c>
      <c r="N87" s="89">
        <f t="shared" si="6"/>
        <v>31.778319247724752</v>
      </c>
      <c r="O87" s="89">
        <f t="shared" si="6"/>
        <v>2.3599533503336265</v>
      </c>
      <c r="P87" s="89">
        <f t="shared" si="6"/>
        <v>51.070854838870112</v>
      </c>
      <c r="Q87" s="89">
        <f t="shared" si="6"/>
        <v>2.7273136603591208</v>
      </c>
      <c r="R87" s="89">
        <f t="shared" si="6"/>
        <v>-8.5033103244820975E-3</v>
      </c>
      <c r="S87" s="89">
        <f t="shared" si="6"/>
        <v>0</v>
      </c>
      <c r="T87" s="89">
        <f t="shared" si="6"/>
        <v>-0.34178182059035522</v>
      </c>
      <c r="U87" s="89">
        <f t="shared" si="6"/>
        <v>0</v>
      </c>
      <c r="V87" s="89">
        <f t="shared" si="6"/>
        <v>-4.4841754744854405E-2</v>
      </c>
      <c r="W87" s="89">
        <f t="shared" si="6"/>
        <v>0</v>
      </c>
      <c r="X87" s="89">
        <f t="shared" si="6"/>
        <v>-16.589379318917416</v>
      </c>
      <c r="Y87" s="89">
        <f t="shared" si="6"/>
        <v>0</v>
      </c>
      <c r="AQ87" s="3"/>
    </row>
    <row r="88" spans="5:43" x14ac:dyDescent="0.25">
      <c r="E88" s="32"/>
      <c r="F88" t="s">
        <v>197</v>
      </c>
      <c r="G88" t="s">
        <v>172</v>
      </c>
      <c r="J88" s="89">
        <f t="shared" ref="J88:Y88" si="7">J$56 * J40 * J76 / hours_in_year / $H51</f>
        <v>1364.2365150300375</v>
      </c>
      <c r="K88" s="89">
        <f t="shared" si="7"/>
        <v>1.1575447124483884</v>
      </c>
      <c r="L88" s="89">
        <f t="shared" si="7"/>
        <v>389.99170797849382</v>
      </c>
      <c r="M88" s="89">
        <f t="shared" si="7"/>
        <v>3.5444429457129598E-2</v>
      </c>
      <c r="N88" s="89">
        <f>N$56 * N40 * N76 / hours_in_year / $H51</f>
        <v>350.31641531976027</v>
      </c>
      <c r="O88" s="89">
        <f t="shared" si="7"/>
        <v>26.015548259995729</v>
      </c>
      <c r="P88" s="89">
        <f t="shared" si="7"/>
        <v>562.9926068462463</v>
      </c>
      <c r="Q88" s="89">
        <f t="shared" si="7"/>
        <v>30.299493759074011</v>
      </c>
      <c r="R88" s="89">
        <f t="shared" si="7"/>
        <v>-9.3738412280484393E-2</v>
      </c>
      <c r="S88" s="89">
        <f t="shared" si="7"/>
        <v>0</v>
      </c>
      <c r="T88" s="89">
        <f t="shared" si="7"/>
        <v>-3.7677191571183291</v>
      </c>
      <c r="U88" s="89">
        <f t="shared" si="7"/>
        <v>0</v>
      </c>
      <c r="V88" s="89">
        <f t="shared" si="7"/>
        <v>-0.49432453165344664</v>
      </c>
      <c r="W88" s="89">
        <f t="shared" si="7"/>
        <v>0</v>
      </c>
      <c r="X88" s="89">
        <f t="shared" si="7"/>
        <v>0</v>
      </c>
      <c r="Y88" s="89">
        <f t="shared" si="7"/>
        <v>0</v>
      </c>
      <c r="AQ88" s="3"/>
    </row>
    <row r="89" spans="5:43" x14ac:dyDescent="0.25">
      <c r="E89" s="32"/>
      <c r="F89" t="s">
        <v>198</v>
      </c>
      <c r="G89" t="s">
        <v>172</v>
      </c>
      <c r="J89" s="89">
        <f t="shared" ref="J89:Y89" si="8">J$56 * J41 * J77 / hours_in_year / $H52</f>
        <v>1349.9035621500657</v>
      </c>
      <c r="K89" s="89">
        <f t="shared" si="8"/>
        <v>1.145383306682455</v>
      </c>
      <c r="L89" s="89">
        <f t="shared" si="8"/>
        <v>385.89437389275992</v>
      </c>
      <c r="M89" s="89">
        <f t="shared" si="8"/>
        <v>3.5072042901228527E-2</v>
      </c>
      <c r="N89" s="89">
        <f t="shared" si="8"/>
        <v>346.63591811964824</v>
      </c>
      <c r="O89" s="89">
        <f t="shared" si="8"/>
        <v>25.74222349317629</v>
      </c>
      <c r="P89" s="89">
        <f t="shared" si="8"/>
        <v>0</v>
      </c>
      <c r="Q89" s="89">
        <f t="shared" si="8"/>
        <v>29.981160968864067</v>
      </c>
      <c r="R89" s="89">
        <f t="shared" si="8"/>
        <v>-9.2753577003421045E-2</v>
      </c>
      <c r="S89" s="89">
        <f t="shared" si="8"/>
        <v>0</v>
      </c>
      <c r="T89" s="89">
        <f t="shared" si="8"/>
        <v>-3.7281347151619761</v>
      </c>
      <c r="U89" s="89">
        <f t="shared" si="8"/>
        <v>0</v>
      </c>
      <c r="V89" s="89">
        <f t="shared" si="8"/>
        <v>0</v>
      </c>
      <c r="W89" s="89">
        <f t="shared" si="8"/>
        <v>0</v>
      </c>
      <c r="X89" s="89">
        <f t="shared" si="8"/>
        <v>0</v>
      </c>
      <c r="Y89" s="89">
        <f t="shared" si="8"/>
        <v>0</v>
      </c>
      <c r="AQ89" s="3"/>
    </row>
    <row r="90" spans="5:43" x14ac:dyDescent="0.25">
      <c r="E90" s="32"/>
      <c r="F90" s="37" t="s">
        <v>199</v>
      </c>
      <c r="G90" s="37" t="s">
        <v>172</v>
      </c>
      <c r="H90" s="37"/>
      <c r="I90" s="37"/>
      <c r="J90" s="82">
        <f t="shared" ref="J90:Y90" si="9">J$56 * J42 * J78 / hours_in_year / $H53</f>
        <v>1311.08444301588</v>
      </c>
      <c r="K90" s="82">
        <f t="shared" si="9"/>
        <v>1.112445567807542</v>
      </c>
      <c r="L90" s="82">
        <f t="shared" si="9"/>
        <v>374.7972258494616</v>
      </c>
      <c r="M90" s="82">
        <f t="shared" si="9"/>
        <v>3.4063477660098575E-2</v>
      </c>
      <c r="N90" s="82">
        <f t="shared" si="9"/>
        <v>336.66772381379559</v>
      </c>
      <c r="O90" s="82">
        <f t="shared" si="9"/>
        <v>0</v>
      </c>
      <c r="P90" s="82">
        <f t="shared" si="9"/>
        <v>0</v>
      </c>
      <c r="Q90" s="82">
        <f t="shared" si="9"/>
        <v>29.11899400222697</v>
      </c>
      <c r="R90" s="82">
        <f t="shared" si="9"/>
        <v>0</v>
      </c>
      <c r="S90" s="82">
        <f t="shared" si="9"/>
        <v>0</v>
      </c>
      <c r="T90" s="82">
        <f t="shared" si="9"/>
        <v>0</v>
      </c>
      <c r="U90" s="82">
        <f t="shared" si="9"/>
        <v>0</v>
      </c>
      <c r="V90" s="82">
        <f t="shared" si="9"/>
        <v>0</v>
      </c>
      <c r="W90" s="82">
        <f t="shared" si="9"/>
        <v>0</v>
      </c>
      <c r="X90" s="82">
        <f t="shared" si="9"/>
        <v>0</v>
      </c>
      <c r="Y90" s="82">
        <f t="shared" si="9"/>
        <v>0</v>
      </c>
      <c r="AQ90" s="3"/>
    </row>
    <row r="91" spans="5:43" x14ac:dyDescent="0.25">
      <c r="E91" s="32"/>
      <c r="J91" s="89"/>
      <c r="K91" s="89"/>
      <c r="L91" s="89"/>
      <c r="M91" s="89"/>
      <c r="N91" s="89"/>
      <c r="O91" s="89"/>
      <c r="P91" s="89"/>
      <c r="Q91" s="89"/>
      <c r="R91" s="89"/>
      <c r="S91" s="89"/>
      <c r="T91" s="89"/>
      <c r="U91" s="89"/>
      <c r="V91" s="89"/>
      <c r="W91" s="89"/>
      <c r="X91" s="89"/>
      <c r="Y91" s="89"/>
      <c r="AQ91" s="3"/>
    </row>
    <row r="92" spans="5:43" x14ac:dyDescent="0.25">
      <c r="E92" s="32" t="s">
        <v>510</v>
      </c>
      <c r="J92" s="89"/>
      <c r="K92" s="89"/>
      <c r="L92" s="89"/>
      <c r="M92" s="89"/>
      <c r="N92" s="89"/>
      <c r="O92" s="89"/>
      <c r="P92" s="89"/>
      <c r="Q92" s="89"/>
      <c r="R92" s="89"/>
      <c r="S92" s="89"/>
      <c r="T92" s="89"/>
      <c r="U92" s="89"/>
      <c r="V92" s="89"/>
      <c r="W92" s="89"/>
      <c r="X92" s="89"/>
      <c r="Y92" s="89"/>
      <c r="AQ92" s="3"/>
    </row>
    <row r="93" spans="5:43" x14ac:dyDescent="0.25">
      <c r="E93" s="32"/>
      <c r="F93" s="23" t="s">
        <v>191</v>
      </c>
      <c r="G93" s="23" t="s">
        <v>283</v>
      </c>
      <c r="H93" s="23"/>
      <c r="I93" s="23"/>
      <c r="J93" s="124">
        <f>'Pseudo-load coefficients'!J283</f>
        <v>0.7209175333780069</v>
      </c>
      <c r="K93" s="124">
        <f>'Pseudo-load coefficients'!K283</f>
        <v>0.7209175333780069</v>
      </c>
      <c r="L93" s="124">
        <f>'Pseudo-load coefficients'!L283</f>
        <v>0.62448299593475232</v>
      </c>
      <c r="M93" s="124">
        <f>'Pseudo-load coefficients'!M283</f>
        <v>0.62448299593475232</v>
      </c>
      <c r="N93" s="124">
        <f>'Pseudo-load coefficients'!N283</f>
        <v>0.5308689825132944</v>
      </c>
      <c r="O93" s="124">
        <f>'Pseudo-load coefficients'!O283</f>
        <v>0.48839806514617307</v>
      </c>
      <c r="P93" s="124">
        <f>'Pseudo-load coefficients'!P283</f>
        <v>0.4449066405743119</v>
      </c>
      <c r="Q93" s="124">
        <f>'Pseudo-load coefficients'!Q283</f>
        <v>0.91983030727230297</v>
      </c>
      <c r="R93" s="124">
        <f>'Pseudo-load coefficients'!R283</f>
        <v>0.4353570405895012</v>
      </c>
      <c r="S93" s="124">
        <f>'Pseudo-load coefficients'!S283</f>
        <v>0.4353570405895012</v>
      </c>
      <c r="T93" s="124">
        <f>'Pseudo-load coefficients'!T283</f>
        <v>0.4353570405895012</v>
      </c>
      <c r="U93" s="124">
        <f>'Pseudo-load coefficients'!U283</f>
        <v>0.4353570405895012</v>
      </c>
      <c r="V93" s="124">
        <f>'Pseudo-load coefficients'!V283</f>
        <v>0.4353570405895012</v>
      </c>
      <c r="W93" s="124">
        <f>'Pseudo-load coefficients'!W283</f>
        <v>0.4353570405895012</v>
      </c>
      <c r="X93" s="124">
        <f>'Pseudo-load coefficients'!X283</f>
        <v>0.4353570405895012</v>
      </c>
      <c r="Y93" s="124">
        <f>'Pseudo-load coefficients'!Y283</f>
        <v>0.4353570405895012</v>
      </c>
      <c r="AQ93" s="3"/>
    </row>
    <row r="94" spans="5:43" x14ac:dyDescent="0.25">
      <c r="E94" s="32"/>
      <c r="F94" t="s">
        <v>192</v>
      </c>
      <c r="G94" t="s">
        <v>283</v>
      </c>
      <c r="J94" s="120">
        <f>'Pseudo-load coefficients'!J284</f>
        <v>1.2605707266687587</v>
      </c>
      <c r="K94" s="120">
        <f>'Pseudo-load coefficients'!K284</f>
        <v>1.2605707266687587</v>
      </c>
      <c r="L94" s="120">
        <f>'Pseudo-load coefficients'!L284</f>
        <v>1.0919487285725233</v>
      </c>
      <c r="M94" s="120">
        <f>'Pseudo-load coefficients'!M284</f>
        <v>1.0919487285725233</v>
      </c>
      <c r="N94" s="120">
        <f>'Pseudo-load coefficients'!N284</f>
        <v>0.9282585983406787</v>
      </c>
      <c r="O94" s="120">
        <f>'Pseudo-load coefficients'!O284</f>
        <v>0.85399546464090648</v>
      </c>
      <c r="P94" s="120">
        <f>'Pseudo-load coefficients'!P284</f>
        <v>0.77794790838364436</v>
      </c>
      <c r="Q94" s="120">
        <f>'Pseudo-load coefficients'!Q284</f>
        <v>0.91178235291106546</v>
      </c>
      <c r="R94" s="120">
        <f>'Pseudo-load coefficients'!R284</f>
        <v>0.76124981791573398</v>
      </c>
      <c r="S94" s="120">
        <f>'Pseudo-load coefficients'!S284</f>
        <v>0.76124981791573398</v>
      </c>
      <c r="T94" s="120">
        <f>'Pseudo-load coefficients'!T284</f>
        <v>0.76124981791573398</v>
      </c>
      <c r="U94" s="120">
        <f>'Pseudo-load coefficients'!U284</f>
        <v>0.76124981791573398</v>
      </c>
      <c r="V94" s="120">
        <f>'Pseudo-load coefficients'!V284</f>
        <v>0.76124981791573398</v>
      </c>
      <c r="W94" s="120">
        <f>'Pseudo-load coefficients'!W284</f>
        <v>0.76124981791573398</v>
      </c>
      <c r="X94" s="120">
        <f>'Pseudo-load coefficients'!X284</f>
        <v>0.76124981791573398</v>
      </c>
      <c r="Y94" s="120">
        <f>'Pseudo-load coefficients'!Y284</f>
        <v>0.76124981791573398</v>
      </c>
      <c r="AQ94" s="3"/>
    </row>
    <row r="95" spans="5:43" x14ac:dyDescent="0.25">
      <c r="E95" s="32"/>
      <c r="F95" t="s">
        <v>193</v>
      </c>
      <c r="G95" t="s">
        <v>283</v>
      </c>
      <c r="J95" s="120">
        <f>'Pseudo-load coefficients'!J285</f>
        <v>1.2605707266687587</v>
      </c>
      <c r="K95" s="120">
        <f>'Pseudo-load coefficients'!K285</f>
        <v>1.2605707266687587</v>
      </c>
      <c r="L95" s="120">
        <f>'Pseudo-load coefficients'!L285</f>
        <v>1.0919487285725233</v>
      </c>
      <c r="M95" s="120">
        <f>'Pseudo-load coefficients'!M285</f>
        <v>1.0919487285725233</v>
      </c>
      <c r="N95" s="120">
        <f>'Pseudo-load coefficients'!N285</f>
        <v>0.9282585983406787</v>
      </c>
      <c r="O95" s="120">
        <f>'Pseudo-load coefficients'!O285</f>
        <v>0.85399546464090648</v>
      </c>
      <c r="P95" s="120">
        <f>'Pseudo-load coefficients'!P285</f>
        <v>0.77794790838364436</v>
      </c>
      <c r="Q95" s="120">
        <f>'Pseudo-load coefficients'!Q285</f>
        <v>0.91178235291106546</v>
      </c>
      <c r="R95" s="120">
        <f>'Pseudo-load coefficients'!R285</f>
        <v>0.76124981791573398</v>
      </c>
      <c r="S95" s="120">
        <f>'Pseudo-load coefficients'!S285</f>
        <v>0.76124981791573398</v>
      </c>
      <c r="T95" s="120">
        <f>'Pseudo-load coefficients'!T285</f>
        <v>0.76124981791573398</v>
      </c>
      <c r="U95" s="120">
        <f>'Pseudo-load coefficients'!U285</f>
        <v>0.76124981791573398</v>
      </c>
      <c r="V95" s="120">
        <f>'Pseudo-load coefficients'!V285</f>
        <v>0.76124981791573398</v>
      </c>
      <c r="W95" s="120">
        <f>'Pseudo-load coefficients'!W285</f>
        <v>0.76124981791573398</v>
      </c>
      <c r="X95" s="120">
        <f>'Pseudo-load coefficients'!X285</f>
        <v>0.76124981791573398</v>
      </c>
      <c r="Y95" s="120">
        <f>'Pseudo-load coefficients'!Y285</f>
        <v>0.76124981791573398</v>
      </c>
      <c r="AQ95" s="3"/>
    </row>
    <row r="96" spans="5:43" x14ac:dyDescent="0.25">
      <c r="E96" s="32"/>
      <c r="F96" t="s">
        <v>194</v>
      </c>
      <c r="G96" t="s">
        <v>283</v>
      </c>
      <c r="J96" s="120">
        <f>'Pseudo-load coefficients'!J286</f>
        <v>1.7658339101040399</v>
      </c>
      <c r="K96" s="120">
        <f>'Pseudo-load coefficients'!K286</f>
        <v>1.7658339101040399</v>
      </c>
      <c r="L96" s="120">
        <f>'Pseudo-load coefficients'!L286</f>
        <v>1.529624678897552</v>
      </c>
      <c r="M96" s="120">
        <f>'Pseudo-load coefficients'!M286</f>
        <v>1.529624678897552</v>
      </c>
      <c r="N96" s="120">
        <f>'Pseudo-load coefficients'!N286</f>
        <v>1.3003241116246682</v>
      </c>
      <c r="O96" s="120">
        <f>'Pseudo-load coefficients'!O286</f>
        <v>1.1962947565212105</v>
      </c>
      <c r="P96" s="120">
        <f>'Pseudo-load coefficients'!P286</f>
        <v>1.089765744877023</v>
      </c>
      <c r="Q96" s="120">
        <f>'Pseudo-load coefficients'!Q286</f>
        <v>1.2053493285703876</v>
      </c>
      <c r="R96" s="120">
        <f>'Pseudo-load coefficients'!R286</f>
        <v>1.0663747095638818</v>
      </c>
      <c r="S96" s="120">
        <f>'Pseudo-load coefficients'!S286</f>
        <v>1.0663747095638818</v>
      </c>
      <c r="T96" s="120">
        <f>'Pseudo-load coefficients'!T286</f>
        <v>1.0663747095638818</v>
      </c>
      <c r="U96" s="120">
        <f>'Pseudo-load coefficients'!U286</f>
        <v>1.0663747095638818</v>
      </c>
      <c r="V96" s="120">
        <f>'Pseudo-load coefficients'!V286</f>
        <v>1.0663747095638818</v>
      </c>
      <c r="W96" s="120">
        <f>'Pseudo-load coefficients'!W286</f>
        <v>1.0663747095638818</v>
      </c>
      <c r="X96" s="120">
        <f>'Pseudo-load coefficients'!X286</f>
        <v>1.0663747095638818</v>
      </c>
      <c r="Y96" s="120">
        <f>'Pseudo-load coefficients'!Y286</f>
        <v>1.0663747095638818</v>
      </c>
      <c r="AQ96" s="3"/>
    </row>
    <row r="97" spans="5:43" x14ac:dyDescent="0.25">
      <c r="E97" s="32"/>
      <c r="F97" t="s">
        <v>195</v>
      </c>
      <c r="G97" t="s">
        <v>283</v>
      </c>
      <c r="J97" s="120">
        <f>'Pseudo-load coefficients'!J287</f>
        <v>1.7658339101040399</v>
      </c>
      <c r="K97" s="120">
        <f>'Pseudo-load coefficients'!K287</f>
        <v>1.7658339101040399</v>
      </c>
      <c r="L97" s="120">
        <f>'Pseudo-load coefficients'!L287</f>
        <v>1.529624678897552</v>
      </c>
      <c r="M97" s="120">
        <f>'Pseudo-load coefficients'!M287</f>
        <v>1.529624678897552</v>
      </c>
      <c r="N97" s="120">
        <f>'Pseudo-load coefficients'!N287</f>
        <v>1.3003241116246682</v>
      </c>
      <c r="O97" s="120">
        <f>'Pseudo-load coefficients'!O287</f>
        <v>1.1962947565212105</v>
      </c>
      <c r="P97" s="120">
        <f>'Pseudo-load coefficients'!P287</f>
        <v>1.089765744877023</v>
      </c>
      <c r="Q97" s="120">
        <f>'Pseudo-load coefficients'!Q287</f>
        <v>1.2053493285703876</v>
      </c>
      <c r="R97" s="120">
        <f>'Pseudo-load coefficients'!R287</f>
        <v>1.0663747095638818</v>
      </c>
      <c r="S97" s="120">
        <f>'Pseudo-load coefficients'!S287</f>
        <v>1.0663747095638818</v>
      </c>
      <c r="T97" s="120">
        <f>'Pseudo-load coefficients'!T287</f>
        <v>1.0663747095638818</v>
      </c>
      <c r="U97" s="120">
        <f>'Pseudo-load coefficients'!U287</f>
        <v>1.0663747095638818</v>
      </c>
      <c r="V97" s="120">
        <f>'Pseudo-load coefficients'!V287</f>
        <v>1.0663747095638818</v>
      </c>
      <c r="W97" s="120">
        <f>'Pseudo-load coefficients'!W287</f>
        <v>1.0663747095638818</v>
      </c>
      <c r="X97" s="120">
        <f>'Pseudo-load coefficients'!X287</f>
        <v>1.0663747095638818</v>
      </c>
      <c r="Y97" s="120">
        <f>'Pseudo-load coefficients'!Y287</f>
        <v>1.0663747095638818</v>
      </c>
      <c r="AQ97" s="3"/>
    </row>
    <row r="98" spans="5:43" x14ac:dyDescent="0.25">
      <c r="E98" s="32"/>
      <c r="F98" t="s">
        <v>196</v>
      </c>
      <c r="G98" t="s">
        <v>283</v>
      </c>
      <c r="J98" s="120">
        <f>'Pseudo-load coefficients'!J288</f>
        <v>1.2605707266687587</v>
      </c>
      <c r="K98" s="120">
        <f>'Pseudo-load coefficients'!K288</f>
        <v>1.2605707266687587</v>
      </c>
      <c r="L98" s="120">
        <f>'Pseudo-load coefficients'!L288</f>
        <v>1.0919487285725233</v>
      </c>
      <c r="M98" s="120">
        <f>'Pseudo-load coefficients'!M288</f>
        <v>1.0919487285725233</v>
      </c>
      <c r="N98" s="120">
        <f>'Pseudo-load coefficients'!N288</f>
        <v>0.9282585983406787</v>
      </c>
      <c r="O98" s="120">
        <f>'Pseudo-load coefficients'!O288</f>
        <v>0.85399546464090648</v>
      </c>
      <c r="P98" s="120">
        <f>'Pseudo-load coefficients'!P288</f>
        <v>0.77794790838364436</v>
      </c>
      <c r="Q98" s="120">
        <f>'Pseudo-load coefficients'!Q288</f>
        <v>0.91178235291106546</v>
      </c>
      <c r="R98" s="120">
        <f>'Pseudo-load coefficients'!R288</f>
        <v>0.76124981791573398</v>
      </c>
      <c r="S98" s="120">
        <f>'Pseudo-load coefficients'!S288</f>
        <v>0.76124981791573398</v>
      </c>
      <c r="T98" s="120">
        <f>'Pseudo-load coefficients'!T288</f>
        <v>0.76124981791573398</v>
      </c>
      <c r="U98" s="120">
        <f>'Pseudo-load coefficients'!U288</f>
        <v>0.76124981791573398</v>
      </c>
      <c r="V98" s="120">
        <f>'Pseudo-load coefficients'!V288</f>
        <v>0.76124981791573398</v>
      </c>
      <c r="W98" s="120">
        <f>'Pseudo-load coefficients'!W288</f>
        <v>0.76124981791573398</v>
      </c>
      <c r="X98" s="120">
        <f>'Pseudo-load coefficients'!X288</f>
        <v>0.76124981791573398</v>
      </c>
      <c r="Y98" s="120">
        <f>'Pseudo-load coefficients'!Y288</f>
        <v>0.76124981791573398</v>
      </c>
      <c r="AQ98" s="3"/>
    </row>
    <row r="99" spans="5:43" x14ac:dyDescent="0.25">
      <c r="E99" s="32"/>
      <c r="F99" t="s">
        <v>197</v>
      </c>
      <c r="G99" t="s">
        <v>283</v>
      </c>
      <c r="J99" s="120">
        <f>'Pseudo-load coefficients'!J289</f>
        <v>1.7658339101040399</v>
      </c>
      <c r="K99" s="120">
        <f>'Pseudo-load coefficients'!K289</f>
        <v>1.7658339101040399</v>
      </c>
      <c r="L99" s="120">
        <f>'Pseudo-load coefficients'!L289</f>
        <v>1.529624678897552</v>
      </c>
      <c r="M99" s="120">
        <f>'Pseudo-load coefficients'!M289</f>
        <v>1.529624678897552</v>
      </c>
      <c r="N99" s="120">
        <f>'Pseudo-load coefficients'!N289</f>
        <v>1.3003241116246682</v>
      </c>
      <c r="O99" s="120">
        <f>'Pseudo-load coefficients'!O289</f>
        <v>1.1962947565212105</v>
      </c>
      <c r="P99" s="120">
        <f>'Pseudo-load coefficients'!P289</f>
        <v>1.089765744877023</v>
      </c>
      <c r="Q99" s="120">
        <f>'Pseudo-load coefficients'!Q289</f>
        <v>1.2053493285703876</v>
      </c>
      <c r="R99" s="120">
        <f>'Pseudo-load coefficients'!R289</f>
        <v>1.0663747095638818</v>
      </c>
      <c r="S99" s="120">
        <f>'Pseudo-load coefficients'!S289</f>
        <v>1.0663747095638818</v>
      </c>
      <c r="T99" s="120">
        <f>'Pseudo-load coefficients'!T289</f>
        <v>1.0663747095638818</v>
      </c>
      <c r="U99" s="120">
        <f>'Pseudo-load coefficients'!U289</f>
        <v>1.0663747095638818</v>
      </c>
      <c r="V99" s="120">
        <f>'Pseudo-load coefficients'!V289</f>
        <v>1.0663747095638818</v>
      </c>
      <c r="W99" s="120">
        <f>'Pseudo-load coefficients'!W289</f>
        <v>1.0663747095638818</v>
      </c>
      <c r="X99" s="120">
        <f>'Pseudo-load coefficients'!X289</f>
        <v>1.0663747095638818</v>
      </c>
      <c r="Y99" s="120">
        <f>'Pseudo-load coefficients'!Y289</f>
        <v>1.0663747095638818</v>
      </c>
      <c r="AQ99" s="3"/>
    </row>
    <row r="100" spans="5:43" x14ac:dyDescent="0.25">
      <c r="E100" s="32"/>
      <c r="F100" t="s">
        <v>198</v>
      </c>
      <c r="G100" t="s">
        <v>283</v>
      </c>
      <c r="J100" s="120">
        <f>'Pseudo-load coefficients'!J290</f>
        <v>1.7658339101040399</v>
      </c>
      <c r="K100" s="120">
        <f>'Pseudo-load coefficients'!K290</f>
        <v>1.7658339101040399</v>
      </c>
      <c r="L100" s="120">
        <f>'Pseudo-load coefficients'!L290</f>
        <v>1.529624678897552</v>
      </c>
      <c r="M100" s="120">
        <f>'Pseudo-load coefficients'!M290</f>
        <v>1.529624678897552</v>
      </c>
      <c r="N100" s="120">
        <f>'Pseudo-load coefficients'!N290</f>
        <v>1.3003241116246682</v>
      </c>
      <c r="O100" s="120">
        <f>'Pseudo-load coefficients'!O290</f>
        <v>1.1962947565212105</v>
      </c>
      <c r="P100" s="120">
        <f>'Pseudo-load coefficients'!P290</f>
        <v>1.089765744877023</v>
      </c>
      <c r="Q100" s="120">
        <f>'Pseudo-load coefficients'!Q290</f>
        <v>1.2053493285703876</v>
      </c>
      <c r="R100" s="120">
        <f>'Pseudo-load coefficients'!R290</f>
        <v>1.0663747095638818</v>
      </c>
      <c r="S100" s="120">
        <f>'Pseudo-load coefficients'!S290</f>
        <v>1.0663747095638818</v>
      </c>
      <c r="T100" s="120">
        <f>'Pseudo-load coefficients'!T290</f>
        <v>1.0663747095638818</v>
      </c>
      <c r="U100" s="120">
        <f>'Pseudo-load coefficients'!U290</f>
        <v>1.0663747095638818</v>
      </c>
      <c r="V100" s="120">
        <f>'Pseudo-load coefficients'!V290</f>
        <v>1.0663747095638818</v>
      </c>
      <c r="W100" s="120">
        <f>'Pseudo-load coefficients'!W290</f>
        <v>1.0663747095638818</v>
      </c>
      <c r="X100" s="120">
        <f>'Pseudo-load coefficients'!X290</f>
        <v>1.0663747095638818</v>
      </c>
      <c r="Y100" s="120">
        <f>'Pseudo-load coefficients'!Y290</f>
        <v>1.0663747095638818</v>
      </c>
      <c r="AQ100" s="3"/>
    </row>
    <row r="101" spans="5:43" x14ac:dyDescent="0.25">
      <c r="E101" s="32"/>
      <c r="F101" s="37" t="s">
        <v>199</v>
      </c>
      <c r="G101" s="37" t="s">
        <v>283</v>
      </c>
      <c r="H101" s="37"/>
      <c r="I101" s="37"/>
      <c r="J101" s="125">
        <f>'Pseudo-load coefficients'!J291</f>
        <v>1.7658339101040399</v>
      </c>
      <c r="K101" s="125">
        <f>'Pseudo-load coefficients'!K291</f>
        <v>1.7658339101040399</v>
      </c>
      <c r="L101" s="125">
        <f>'Pseudo-load coefficients'!L291</f>
        <v>1.529624678897552</v>
      </c>
      <c r="M101" s="125">
        <f>'Pseudo-load coefficients'!M291</f>
        <v>1.529624678897552</v>
      </c>
      <c r="N101" s="125">
        <f>'Pseudo-load coefficients'!N291</f>
        <v>1.3003241116246682</v>
      </c>
      <c r="O101" s="125">
        <f>'Pseudo-load coefficients'!O291</f>
        <v>1.1962947565212105</v>
      </c>
      <c r="P101" s="125">
        <f>'Pseudo-load coefficients'!P291</f>
        <v>1.089765744877023</v>
      </c>
      <c r="Q101" s="125">
        <f>'Pseudo-load coefficients'!Q291</f>
        <v>1.2053493285703876</v>
      </c>
      <c r="R101" s="125">
        <f>'Pseudo-load coefficients'!R291</f>
        <v>1.0663747095638818</v>
      </c>
      <c r="S101" s="125">
        <f>'Pseudo-load coefficients'!S291</f>
        <v>1.0663747095638818</v>
      </c>
      <c r="T101" s="125">
        <f>'Pseudo-load coefficients'!T291</f>
        <v>1.0663747095638818</v>
      </c>
      <c r="U101" s="125">
        <f>'Pseudo-load coefficients'!U291</f>
        <v>1.0663747095638818</v>
      </c>
      <c r="V101" s="125">
        <f>'Pseudo-load coefficients'!V291</f>
        <v>1.0663747095638818</v>
      </c>
      <c r="W101" s="125">
        <f>'Pseudo-load coefficients'!W291</f>
        <v>1.0663747095638818</v>
      </c>
      <c r="X101" s="125">
        <f>'Pseudo-load coefficients'!X291</f>
        <v>1.0663747095638818</v>
      </c>
      <c r="Y101" s="125">
        <f>'Pseudo-load coefficients'!Y291</f>
        <v>1.0663747095638818</v>
      </c>
      <c r="AQ101" s="3"/>
    </row>
    <row r="102" spans="5:43" x14ac:dyDescent="0.25">
      <c r="E102" s="32"/>
      <c r="J102" s="89"/>
      <c r="K102" s="89"/>
      <c r="L102" s="89"/>
      <c r="M102" s="89"/>
      <c r="N102" s="89"/>
      <c r="O102" s="89"/>
      <c r="P102" s="89"/>
      <c r="Q102" s="89"/>
      <c r="R102" s="89"/>
      <c r="S102" s="89"/>
      <c r="T102" s="89"/>
      <c r="U102" s="89"/>
      <c r="V102" s="89"/>
      <c r="W102" s="89"/>
      <c r="X102" s="89"/>
      <c r="Y102" s="89"/>
      <c r="AQ102" s="3"/>
    </row>
    <row r="103" spans="5:43" x14ac:dyDescent="0.25">
      <c r="E103" s="32" t="s">
        <v>511</v>
      </c>
      <c r="J103" s="89"/>
      <c r="K103" s="89"/>
      <c r="L103" s="89"/>
      <c r="M103" s="89"/>
      <c r="N103" s="89"/>
      <c r="O103" s="89"/>
      <c r="P103" s="89"/>
      <c r="Q103" s="89"/>
      <c r="R103" s="89"/>
      <c r="S103" s="89"/>
      <c r="T103" s="89"/>
      <c r="U103" s="89"/>
      <c r="V103" s="89"/>
      <c r="W103" s="89"/>
      <c r="X103" s="89"/>
      <c r="Y103" s="89"/>
      <c r="AQ103" s="3"/>
    </row>
    <row r="104" spans="5:43" x14ac:dyDescent="0.25">
      <c r="E104" s="29" t="s">
        <v>512</v>
      </c>
      <c r="J104" s="89"/>
      <c r="K104" s="89"/>
      <c r="L104" s="89"/>
      <c r="M104" s="89"/>
      <c r="N104" s="89"/>
      <c r="O104" s="89"/>
      <c r="P104" s="89"/>
      <c r="Q104" s="89"/>
      <c r="R104" s="89"/>
      <c r="S104" s="89"/>
      <c r="T104" s="89"/>
      <c r="U104" s="89"/>
      <c r="V104" s="89"/>
      <c r="W104" s="89"/>
      <c r="X104" s="89"/>
      <c r="Y104" s="89"/>
      <c r="AQ104" s="3"/>
    </row>
    <row r="105" spans="5:43" x14ac:dyDescent="0.25">
      <c r="E105" s="32"/>
      <c r="F105" s="23" t="s">
        <v>191</v>
      </c>
      <c r="G105" s="23" t="s">
        <v>172</v>
      </c>
      <c r="H105" s="23"/>
      <c r="I105" s="23"/>
      <c r="J105" s="158">
        <f t="shared" ref="J105:Y105" si="10">J$57 * J34 * J93 / hours_in_year / $H45</f>
        <v>261.57777195513899</v>
      </c>
      <c r="K105" s="158">
        <f t="shared" si="10"/>
        <v>0.48264293375508449</v>
      </c>
      <c r="L105" s="158">
        <f t="shared" si="10"/>
        <v>104.03064387987976</v>
      </c>
      <c r="M105" s="158">
        <f t="shared" si="10"/>
        <v>3.5664094525080528E-2</v>
      </c>
      <c r="N105" s="158">
        <f t="shared" si="10"/>
        <v>95.505745933330061</v>
      </c>
      <c r="O105" s="158">
        <f t="shared" si="10"/>
        <v>6.2542265461482121</v>
      </c>
      <c r="P105" s="158">
        <f t="shared" si="10"/>
        <v>139.14106364445971</v>
      </c>
      <c r="Q105" s="158">
        <f t="shared" si="10"/>
        <v>5.557664619227916</v>
      </c>
      <c r="R105" s="158">
        <f t="shared" si="10"/>
        <v>-3.3309040275473385E-2</v>
      </c>
      <c r="S105" s="158">
        <f t="shared" si="10"/>
        <v>0</v>
      </c>
      <c r="T105" s="158">
        <f t="shared" si="10"/>
        <v>-1.2080398868417974</v>
      </c>
      <c r="U105" s="158">
        <f t="shared" si="10"/>
        <v>0</v>
      </c>
      <c r="V105" s="158">
        <f t="shared" si="10"/>
        <v>-0.12592648995576991</v>
      </c>
      <c r="W105" s="158">
        <f t="shared" si="10"/>
        <v>0</v>
      </c>
      <c r="X105" s="158">
        <f t="shared" si="10"/>
        <v>-28.497948517611196</v>
      </c>
      <c r="Y105" s="158">
        <f t="shared" si="10"/>
        <v>0</v>
      </c>
      <c r="AQ105" s="3"/>
    </row>
    <row r="106" spans="5:43" x14ac:dyDescent="0.25">
      <c r="E106" s="32"/>
      <c r="F106" t="s">
        <v>192</v>
      </c>
      <c r="G106" t="s">
        <v>172</v>
      </c>
      <c r="J106" s="89">
        <f t="shared" ref="J106:Y106" si="11">J$57 * J35 * J94 / hours_in_year / $H46</f>
        <v>456.01752456552595</v>
      </c>
      <c r="K106" s="89">
        <f t="shared" si="11"/>
        <v>0.84140802276495874</v>
      </c>
      <c r="L106" s="89">
        <f t="shared" si="11"/>
        <v>181.360198714425</v>
      </c>
      <c r="M106" s="89">
        <f t="shared" si="11"/>
        <v>6.2174442345152174E-2</v>
      </c>
      <c r="N106" s="89">
        <f t="shared" si="11"/>
        <v>166.49845098371171</v>
      </c>
      <c r="O106" s="89">
        <f t="shared" si="11"/>
        <v>10.903208198193678</v>
      </c>
      <c r="P106" s="89">
        <f t="shared" si="11"/>
        <v>242.56940081071843</v>
      </c>
      <c r="Q106" s="89">
        <f t="shared" si="11"/>
        <v>5.4925607600789839</v>
      </c>
      <c r="R106" s="89">
        <f t="shared" si="11"/>
        <v>-5.8068795289990489E-2</v>
      </c>
      <c r="S106" s="89">
        <f t="shared" si="11"/>
        <v>0</v>
      </c>
      <c r="T106" s="89">
        <f t="shared" si="11"/>
        <v>-2.1060174748659182</v>
      </c>
      <c r="U106" s="89">
        <f t="shared" si="11"/>
        <v>0</v>
      </c>
      <c r="V106" s="89">
        <f t="shared" si="11"/>
        <v>-0.21953198009769806</v>
      </c>
      <c r="W106" s="89">
        <f t="shared" si="11"/>
        <v>0</v>
      </c>
      <c r="X106" s="89">
        <f t="shared" si="11"/>
        <v>-49.681453592416176</v>
      </c>
      <c r="Y106" s="89">
        <f t="shared" si="11"/>
        <v>0</v>
      </c>
      <c r="AQ106" s="3"/>
    </row>
    <row r="107" spans="5:43" x14ac:dyDescent="0.25">
      <c r="E107" s="32"/>
      <c r="F107" t="s">
        <v>193</v>
      </c>
      <c r="G107" t="s">
        <v>172</v>
      </c>
      <c r="J107" s="89">
        <f t="shared" ref="J107:Y107" si="12">J$57 * J36 * J95 / hours_in_year / $H47</f>
        <v>420.53814824768585</v>
      </c>
      <c r="K107" s="89">
        <f t="shared" si="12"/>
        <v>0.77594424063296707</v>
      </c>
      <c r="L107" s="89">
        <f t="shared" si="12"/>
        <v>167.24989287607394</v>
      </c>
      <c r="M107" s="89">
        <f t="shared" si="12"/>
        <v>5.7337105360313265E-2</v>
      </c>
      <c r="N107" s="89">
        <f t="shared" si="12"/>
        <v>153.54442864780094</v>
      </c>
      <c r="O107" s="89">
        <f t="shared" si="12"/>
        <v>10.054909600230722</v>
      </c>
      <c r="P107" s="89">
        <f t="shared" si="12"/>
        <v>223.69685624621715</v>
      </c>
      <c r="Q107" s="89">
        <f t="shared" si="12"/>
        <v>5.0652249239373557</v>
      </c>
      <c r="R107" s="89">
        <f t="shared" si="12"/>
        <v>-5.3550888566164231E-2</v>
      </c>
      <c r="S107" s="89">
        <f t="shared" si="12"/>
        <v>0</v>
      </c>
      <c r="T107" s="89">
        <f t="shared" si="12"/>
        <v>-1.9421637137765704</v>
      </c>
      <c r="U107" s="89">
        <f t="shared" si="12"/>
        <v>0</v>
      </c>
      <c r="V107" s="89">
        <f t="shared" si="12"/>
        <v>-0.20245180813915831</v>
      </c>
      <c r="W107" s="89">
        <f t="shared" si="12"/>
        <v>0</v>
      </c>
      <c r="X107" s="89">
        <f t="shared" si="12"/>
        <v>-45.816104361151361</v>
      </c>
      <c r="Y107" s="89">
        <f t="shared" si="12"/>
        <v>0</v>
      </c>
      <c r="AQ107" s="3"/>
    </row>
    <row r="108" spans="5:43" x14ac:dyDescent="0.25">
      <c r="E108" s="32"/>
      <c r="F108" t="s">
        <v>194</v>
      </c>
      <c r="G108" t="s">
        <v>172</v>
      </c>
      <c r="J108" s="89">
        <f t="shared" ref="J108:Y108" si="13">J$57 * J37 * J96 / hours_in_year / $H48</f>
        <v>584.45093626054654</v>
      </c>
      <c r="K108" s="89">
        <f t="shared" si="13"/>
        <v>1.0783833519350929</v>
      </c>
      <c r="L108" s="89">
        <f t="shared" si="13"/>
        <v>232.43873805076478</v>
      </c>
      <c r="M108" s="89">
        <f t="shared" si="13"/>
        <v>7.9685339011308337E-2</v>
      </c>
      <c r="N108" s="89">
        <f t="shared" si="13"/>
        <v>213.3913069592534</v>
      </c>
      <c r="O108" s="89">
        <f t="shared" si="13"/>
        <v>13.974002963481071</v>
      </c>
      <c r="P108" s="89">
        <f t="shared" si="13"/>
        <v>310.88698520315972</v>
      </c>
      <c r="Q108" s="89">
        <f t="shared" si="13"/>
        <v>6.6432486634459282</v>
      </c>
      <c r="R108" s="89">
        <f t="shared" si="13"/>
        <v>-7.4423371792766035E-2</v>
      </c>
      <c r="S108" s="89">
        <f t="shared" si="13"/>
        <v>0</v>
      </c>
      <c r="T108" s="89">
        <f t="shared" si="13"/>
        <v>-2.6991591740672081</v>
      </c>
      <c r="U108" s="89">
        <f t="shared" si="13"/>
        <v>0</v>
      </c>
      <c r="V108" s="89">
        <f t="shared" si="13"/>
        <v>-0.28136127318676069</v>
      </c>
      <c r="W108" s="89">
        <f t="shared" si="13"/>
        <v>0</v>
      </c>
      <c r="X108" s="89">
        <f t="shared" si="13"/>
        <v>-63.673807480397052</v>
      </c>
      <c r="Y108" s="89">
        <f t="shared" si="13"/>
        <v>0</v>
      </c>
      <c r="AQ108" s="3"/>
    </row>
    <row r="109" spans="5:43" x14ac:dyDescent="0.25">
      <c r="E109" s="32"/>
      <c r="F109" t="s">
        <v>195</v>
      </c>
      <c r="G109" t="s">
        <v>172</v>
      </c>
      <c r="J109" s="89">
        <f t="shared" ref="J109:Y109" si="14">J$57 * J38 * J97 / hours_in_year / $H49</f>
        <v>581.01298957666097</v>
      </c>
      <c r="K109" s="89">
        <f t="shared" si="14"/>
        <v>1.0720399204531217</v>
      </c>
      <c r="L109" s="89">
        <f t="shared" si="14"/>
        <v>231.07145135634852</v>
      </c>
      <c r="M109" s="89">
        <f t="shared" si="14"/>
        <v>7.9216601723006513E-2</v>
      </c>
      <c r="N109" s="89">
        <f t="shared" si="14"/>
        <v>212.13606397714014</v>
      </c>
      <c r="O109" s="89">
        <f t="shared" si="14"/>
        <v>13.891802946048829</v>
      </c>
      <c r="P109" s="89">
        <f t="shared" si="14"/>
        <v>309.05823823137644</v>
      </c>
      <c r="Q109" s="89">
        <f t="shared" si="14"/>
        <v>6.60417073013154</v>
      </c>
      <c r="R109" s="89">
        <f t="shared" si="14"/>
        <v>-7.3985587252808585E-2</v>
      </c>
      <c r="S109" s="89">
        <f t="shared" si="14"/>
        <v>0</v>
      </c>
      <c r="T109" s="89">
        <f t="shared" si="14"/>
        <v>-2.6832817671609304</v>
      </c>
      <c r="U109" s="89">
        <f t="shared" si="14"/>
        <v>0</v>
      </c>
      <c r="V109" s="89">
        <f t="shared" si="14"/>
        <v>-0.27970620687389741</v>
      </c>
      <c r="W109" s="89">
        <f t="shared" si="14"/>
        <v>0</v>
      </c>
      <c r="X109" s="89">
        <f t="shared" si="14"/>
        <v>-63.299255671688833</v>
      </c>
      <c r="Y109" s="89">
        <f t="shared" si="14"/>
        <v>0</v>
      </c>
      <c r="AQ109" s="3"/>
    </row>
    <row r="110" spans="5:43" x14ac:dyDescent="0.25">
      <c r="E110" s="32"/>
      <c r="F110" t="s">
        <v>196</v>
      </c>
      <c r="G110" t="s">
        <v>172</v>
      </c>
      <c r="J110" s="89">
        <f t="shared" ref="J110:Y110" si="15">J$57 * J39 * J98 / hours_in_year / $H50</f>
        <v>33.651176472598529</v>
      </c>
      <c r="K110" s="89">
        <f t="shared" si="15"/>
        <v>6.2090530153420205E-2</v>
      </c>
      <c r="L110" s="89">
        <f t="shared" si="15"/>
        <v>13.383222624743018</v>
      </c>
      <c r="M110" s="89">
        <f t="shared" si="15"/>
        <v>4.5880761565808646E-3</v>
      </c>
      <c r="N110" s="89">
        <f t="shared" si="15"/>
        <v>12.286520702916741</v>
      </c>
      <c r="O110" s="89">
        <f t="shared" si="15"/>
        <v>0.80458702446681307</v>
      </c>
      <c r="P110" s="89">
        <f t="shared" si="15"/>
        <v>17.900070224957002</v>
      </c>
      <c r="Q110" s="89">
        <f t="shared" si="15"/>
        <v>0.40531585184141106</v>
      </c>
      <c r="R110" s="89">
        <f t="shared" si="15"/>
        <v>-4.2851056649992458E-3</v>
      </c>
      <c r="S110" s="89">
        <f t="shared" si="15"/>
        <v>0</v>
      </c>
      <c r="T110" s="89">
        <f t="shared" si="15"/>
        <v>-0.15541061885420127</v>
      </c>
      <c r="U110" s="89">
        <f t="shared" si="15"/>
        <v>0</v>
      </c>
      <c r="V110" s="89">
        <f t="shared" si="15"/>
        <v>-1.6200055931370461E-2</v>
      </c>
      <c r="W110" s="89">
        <f t="shared" si="15"/>
        <v>0</v>
      </c>
      <c r="X110" s="89">
        <f t="shared" si="15"/>
        <v>-3.6661734959560333</v>
      </c>
      <c r="Y110" s="89">
        <f t="shared" si="15"/>
        <v>0</v>
      </c>
      <c r="AQ110" s="3"/>
    </row>
    <row r="111" spans="5:43" x14ac:dyDescent="0.25">
      <c r="E111" s="32"/>
      <c r="F111" t="s">
        <v>197</v>
      </c>
      <c r="G111" t="s">
        <v>172</v>
      </c>
      <c r="J111" s="89">
        <f t="shared" ref="J111:Y111" si="16">J$57 * J40 * J99 / hours_in_year / $H51</f>
        <v>618.45107004295085</v>
      </c>
      <c r="K111" s="89">
        <f t="shared" si="16"/>
        <v>1.141117750940599</v>
      </c>
      <c r="L111" s="89">
        <f t="shared" si="16"/>
        <v>245.96074255041387</v>
      </c>
      <c r="M111" s="89">
        <f t="shared" si="16"/>
        <v>8.4320992782719054E-2</v>
      </c>
      <c r="N111" s="89">
        <f t="shared" si="16"/>
        <v>225.80523691381563</v>
      </c>
      <c r="O111" s="89">
        <f t="shared" si="16"/>
        <v>14.786933426513583</v>
      </c>
      <c r="P111" s="89">
        <f t="shared" si="16"/>
        <v>328.97267628913249</v>
      </c>
      <c r="Q111" s="89">
        <f t="shared" si="16"/>
        <v>7.0297162508744266</v>
      </c>
      <c r="R111" s="89">
        <f t="shared" si="16"/>
        <v>-7.8752913317126985E-2</v>
      </c>
      <c r="S111" s="89">
        <f t="shared" si="16"/>
        <v>0</v>
      </c>
      <c r="T111" s="89">
        <f t="shared" si="16"/>
        <v>-2.8561813761453951</v>
      </c>
      <c r="U111" s="89">
        <f t="shared" si="16"/>
        <v>0</v>
      </c>
      <c r="V111" s="89">
        <f t="shared" si="16"/>
        <v>-0.29772932110322914</v>
      </c>
      <c r="W111" s="89">
        <f t="shared" si="16"/>
        <v>0</v>
      </c>
      <c r="X111" s="89">
        <f t="shared" si="16"/>
        <v>0</v>
      </c>
      <c r="Y111" s="89">
        <f t="shared" si="16"/>
        <v>0</v>
      </c>
      <c r="AQ111" s="3"/>
    </row>
    <row r="112" spans="5:43" x14ac:dyDescent="0.25">
      <c r="E112" s="32"/>
      <c r="F112" t="s">
        <v>198</v>
      </c>
      <c r="G112" t="s">
        <v>172</v>
      </c>
      <c r="J112" s="89">
        <f t="shared" ref="J112:Y112" si="17">J$57 * J41 * J100 / hours_in_year / $H52</f>
        <v>611.95349433094293</v>
      </c>
      <c r="K112" s="89">
        <f t="shared" si="17"/>
        <v>1.1291289302525889</v>
      </c>
      <c r="L112" s="89">
        <f t="shared" si="17"/>
        <v>243.37662777672284</v>
      </c>
      <c r="M112" s="89">
        <f t="shared" si="17"/>
        <v>8.3435098875737287E-2</v>
      </c>
      <c r="N112" s="89">
        <f t="shared" si="17"/>
        <v>223.43288007900003</v>
      </c>
      <c r="O112" s="89">
        <f t="shared" si="17"/>
        <v>14.631578825088894</v>
      </c>
      <c r="P112" s="89">
        <f t="shared" si="17"/>
        <v>0</v>
      </c>
      <c r="Q112" s="89">
        <f t="shared" si="17"/>
        <v>6.9558605882577904</v>
      </c>
      <c r="R112" s="89">
        <f t="shared" si="17"/>
        <v>-7.7925518812362524E-2</v>
      </c>
      <c r="S112" s="89">
        <f t="shared" si="17"/>
        <v>0</v>
      </c>
      <c r="T112" s="89">
        <f t="shared" si="17"/>
        <v>-2.8261737399108209</v>
      </c>
      <c r="U112" s="89">
        <f t="shared" si="17"/>
        <v>0</v>
      </c>
      <c r="V112" s="89">
        <f t="shared" si="17"/>
        <v>0</v>
      </c>
      <c r="W112" s="89">
        <f t="shared" si="17"/>
        <v>0</v>
      </c>
      <c r="X112" s="89">
        <f t="shared" si="17"/>
        <v>0</v>
      </c>
      <c r="Y112" s="89">
        <f t="shared" si="17"/>
        <v>0</v>
      </c>
      <c r="AQ112" s="3"/>
    </row>
    <row r="113" spans="5:43" x14ac:dyDescent="0.25">
      <c r="E113" s="32"/>
      <c r="F113" s="37" t="s">
        <v>199</v>
      </c>
      <c r="G113" s="37" t="s">
        <v>172</v>
      </c>
      <c r="H113" s="37"/>
      <c r="I113" s="37"/>
      <c r="J113" s="82">
        <f t="shared" ref="J113:Y113" si="18">J$57 * J42 * J101 / hours_in_year / $H53</f>
        <v>594.35557380751118</v>
      </c>
      <c r="K113" s="82">
        <f t="shared" si="18"/>
        <v>1.0966586177870692</v>
      </c>
      <c r="L113" s="82">
        <f t="shared" si="18"/>
        <v>236.37785647702111</v>
      </c>
      <c r="M113" s="82">
        <f t="shared" si="18"/>
        <v>8.1035759297678048E-2</v>
      </c>
      <c r="N113" s="82">
        <f t="shared" si="18"/>
        <v>217.00763028080982</v>
      </c>
      <c r="O113" s="82">
        <f t="shared" si="18"/>
        <v>0</v>
      </c>
      <c r="P113" s="82">
        <f t="shared" si="18"/>
        <v>0</v>
      </c>
      <c r="Q113" s="82">
        <f t="shared" si="18"/>
        <v>6.755831202139059</v>
      </c>
      <c r="R113" s="82">
        <f t="shared" si="18"/>
        <v>0</v>
      </c>
      <c r="S113" s="82">
        <f t="shared" si="18"/>
        <v>0</v>
      </c>
      <c r="T113" s="82">
        <f t="shared" si="18"/>
        <v>0</v>
      </c>
      <c r="U113" s="82">
        <f t="shared" si="18"/>
        <v>0</v>
      </c>
      <c r="V113" s="82">
        <f t="shared" si="18"/>
        <v>0</v>
      </c>
      <c r="W113" s="82">
        <f t="shared" si="18"/>
        <v>0</v>
      </c>
      <c r="X113" s="82">
        <f t="shared" si="18"/>
        <v>0</v>
      </c>
      <c r="Y113" s="82">
        <f t="shared" si="18"/>
        <v>0</v>
      </c>
      <c r="AQ113" s="3"/>
    </row>
    <row r="114" spans="5:43" x14ac:dyDescent="0.25">
      <c r="E114" s="32"/>
      <c r="J114" s="89"/>
      <c r="K114" s="89"/>
      <c r="L114" s="89"/>
      <c r="M114" s="89"/>
      <c r="N114" s="89"/>
      <c r="O114" s="89"/>
      <c r="P114" s="89"/>
      <c r="Q114" s="89"/>
      <c r="R114" s="89"/>
      <c r="S114" s="89"/>
      <c r="T114" s="89"/>
      <c r="U114" s="89"/>
      <c r="V114" s="89"/>
      <c r="W114" s="89"/>
      <c r="X114" s="89"/>
      <c r="Y114" s="89"/>
      <c r="AQ114" s="3"/>
    </row>
    <row r="115" spans="5:43" x14ac:dyDescent="0.25">
      <c r="E115" s="32" t="s">
        <v>513</v>
      </c>
      <c r="J115" s="89"/>
      <c r="K115" s="89"/>
      <c r="L115" s="89"/>
      <c r="M115" s="89"/>
      <c r="N115" s="89"/>
      <c r="O115" s="89"/>
      <c r="P115" s="89"/>
      <c r="Q115" s="89"/>
      <c r="R115" s="89"/>
      <c r="S115" s="89"/>
      <c r="T115" s="89"/>
      <c r="U115" s="89"/>
      <c r="V115" s="89"/>
      <c r="W115" s="89"/>
      <c r="X115" s="89"/>
      <c r="Y115" s="89"/>
      <c r="AQ115" s="3"/>
    </row>
    <row r="116" spans="5:43" x14ac:dyDescent="0.25">
      <c r="E116" s="32"/>
      <c r="F116" s="23" t="s">
        <v>191</v>
      </c>
      <c r="G116" s="23" t="s">
        <v>283</v>
      </c>
      <c r="H116" s="23"/>
      <c r="I116" s="23"/>
      <c r="J116" s="124">
        <f>'Pseudo-load coefficients'!J294</f>
        <v>0</v>
      </c>
      <c r="K116" s="124">
        <f>'Pseudo-load coefficients'!K294</f>
        <v>0</v>
      </c>
      <c r="L116" s="124">
        <f>'Pseudo-load coefficients'!L294</f>
        <v>0</v>
      </c>
      <c r="M116" s="124">
        <f>'Pseudo-load coefficients'!M294</f>
        <v>0</v>
      </c>
      <c r="N116" s="124">
        <f>'Pseudo-load coefficients'!N294</f>
        <v>0</v>
      </c>
      <c r="O116" s="124">
        <f>'Pseudo-load coefficients'!O294</f>
        <v>0</v>
      </c>
      <c r="P116" s="124">
        <f>'Pseudo-load coefficients'!P294</f>
        <v>0</v>
      </c>
      <c r="Q116" s="124">
        <f>'Pseudo-load coefficients'!Q294</f>
        <v>0</v>
      </c>
      <c r="R116" s="124">
        <f>'Pseudo-load coefficients'!R294</f>
        <v>0</v>
      </c>
      <c r="S116" s="124">
        <f>'Pseudo-load coefficients'!S294</f>
        <v>0</v>
      </c>
      <c r="T116" s="124">
        <f>'Pseudo-load coefficients'!T294</f>
        <v>0</v>
      </c>
      <c r="U116" s="124">
        <f>'Pseudo-load coefficients'!U294</f>
        <v>0</v>
      </c>
      <c r="V116" s="124">
        <f>'Pseudo-load coefficients'!V294</f>
        <v>0</v>
      </c>
      <c r="W116" s="124">
        <f>'Pseudo-load coefficients'!W294</f>
        <v>0</v>
      </c>
      <c r="X116" s="124">
        <f>'Pseudo-load coefficients'!X294</f>
        <v>0</v>
      </c>
      <c r="Y116" s="124">
        <f>'Pseudo-load coefficients'!Y294</f>
        <v>0</v>
      </c>
      <c r="AQ116" s="3"/>
    </row>
    <row r="117" spans="5:43" x14ac:dyDescent="0.25">
      <c r="E117" s="32"/>
      <c r="F117" t="s">
        <v>192</v>
      </c>
      <c r="G117" t="s">
        <v>283</v>
      </c>
      <c r="J117" s="120">
        <f>'Pseudo-load coefficients'!J295</f>
        <v>5.7563590020385365E-2</v>
      </c>
      <c r="K117" s="120">
        <f>'Pseudo-load coefficients'!K295</f>
        <v>5.7563590020385365E-2</v>
      </c>
      <c r="L117" s="120">
        <f>'Pseudo-load coefficients'!L295</f>
        <v>4.9863516266903316E-2</v>
      </c>
      <c r="M117" s="120">
        <f>'Pseudo-load coefficients'!M295</f>
        <v>4.9863516266903316E-2</v>
      </c>
      <c r="N117" s="120">
        <f>'Pseudo-load coefficients'!N295</f>
        <v>4.2388654803199526E-2</v>
      </c>
      <c r="O117" s="120">
        <f>'Pseudo-load coefficients'!O295</f>
        <v>3.8997450730723818E-2</v>
      </c>
      <c r="P117" s="120">
        <f>'Pseudo-load coefficients'!P295</f>
        <v>3.5524761529052769E-2</v>
      </c>
      <c r="Q117" s="120">
        <f>'Pseudo-load coefficients'!Q295</f>
        <v>4.4175981302415214E-2</v>
      </c>
      <c r="R117" s="120">
        <f>'Pseudo-load coefficients'!R295</f>
        <v>3.4762248158336784E-2</v>
      </c>
      <c r="S117" s="120">
        <f>'Pseudo-load coefficients'!S295</f>
        <v>3.4762248158336784E-2</v>
      </c>
      <c r="T117" s="120">
        <f>'Pseudo-load coefficients'!T295</f>
        <v>3.4762248158336784E-2</v>
      </c>
      <c r="U117" s="120">
        <f>'Pseudo-load coefficients'!U295</f>
        <v>3.4762248158336784E-2</v>
      </c>
      <c r="V117" s="120">
        <f>'Pseudo-load coefficients'!V295</f>
        <v>3.4762248158336784E-2</v>
      </c>
      <c r="W117" s="120">
        <f>'Pseudo-load coefficients'!W295</f>
        <v>3.4762248158336784E-2</v>
      </c>
      <c r="X117" s="120">
        <f>'Pseudo-load coefficients'!X295</f>
        <v>3.4762248158336784E-2</v>
      </c>
      <c r="Y117" s="120">
        <f>'Pseudo-load coefficients'!Y295</f>
        <v>3.4762248158336784E-2</v>
      </c>
      <c r="AQ117" s="3"/>
    </row>
    <row r="118" spans="5:43" x14ac:dyDescent="0.25">
      <c r="E118" s="32"/>
      <c r="F118" t="s">
        <v>193</v>
      </c>
      <c r="G118" t="s">
        <v>283</v>
      </c>
      <c r="J118" s="120">
        <f>'Pseudo-load coefficients'!J296</f>
        <v>5.7563590020385365E-2</v>
      </c>
      <c r="K118" s="120">
        <f>'Pseudo-load coefficients'!K296</f>
        <v>5.7563590020385365E-2</v>
      </c>
      <c r="L118" s="120">
        <f>'Pseudo-load coefficients'!L296</f>
        <v>4.9863516266903316E-2</v>
      </c>
      <c r="M118" s="120">
        <f>'Pseudo-load coefficients'!M296</f>
        <v>4.9863516266903316E-2</v>
      </c>
      <c r="N118" s="120">
        <f>'Pseudo-load coefficients'!N296</f>
        <v>4.2388654803199526E-2</v>
      </c>
      <c r="O118" s="120">
        <f>'Pseudo-load coefficients'!O296</f>
        <v>3.8997450730723818E-2</v>
      </c>
      <c r="P118" s="120">
        <f>'Pseudo-load coefficients'!P296</f>
        <v>3.5524761529052769E-2</v>
      </c>
      <c r="Q118" s="120">
        <f>'Pseudo-load coefficients'!Q296</f>
        <v>4.4175981302415214E-2</v>
      </c>
      <c r="R118" s="120">
        <f>'Pseudo-load coefficients'!R296</f>
        <v>3.4762248158336784E-2</v>
      </c>
      <c r="S118" s="120">
        <f>'Pseudo-load coefficients'!S296</f>
        <v>3.4762248158336784E-2</v>
      </c>
      <c r="T118" s="120">
        <f>'Pseudo-load coefficients'!T296</f>
        <v>3.4762248158336784E-2</v>
      </c>
      <c r="U118" s="120">
        <f>'Pseudo-load coefficients'!U296</f>
        <v>3.4762248158336784E-2</v>
      </c>
      <c r="V118" s="120">
        <f>'Pseudo-load coefficients'!V296</f>
        <v>3.4762248158336784E-2</v>
      </c>
      <c r="W118" s="120">
        <f>'Pseudo-load coefficients'!W296</f>
        <v>3.4762248158336784E-2</v>
      </c>
      <c r="X118" s="120">
        <f>'Pseudo-load coefficients'!X296</f>
        <v>3.4762248158336784E-2</v>
      </c>
      <c r="Y118" s="120">
        <f>'Pseudo-load coefficients'!Y296</f>
        <v>3.4762248158336784E-2</v>
      </c>
      <c r="AQ118" s="3"/>
    </row>
    <row r="119" spans="5:43" x14ac:dyDescent="0.25">
      <c r="E119" s="32"/>
      <c r="F119" t="s">
        <v>194</v>
      </c>
      <c r="G119" t="s">
        <v>283</v>
      </c>
      <c r="J119" s="120">
        <f>'Pseudo-load coefficients'!J297</f>
        <v>0.12108790972637158</v>
      </c>
      <c r="K119" s="120">
        <f>'Pseudo-load coefficients'!K297</f>
        <v>0.12108790972637158</v>
      </c>
      <c r="L119" s="120">
        <f>'Pseudo-load coefficients'!L297</f>
        <v>0.10489041691506767</v>
      </c>
      <c r="M119" s="120">
        <f>'Pseudo-load coefficients'!M297</f>
        <v>0.10489041691506767</v>
      </c>
      <c r="N119" s="120">
        <f>'Pseudo-load coefficients'!N297</f>
        <v>8.9166669493936299E-2</v>
      </c>
      <c r="O119" s="120">
        <f>'Pseudo-load coefficients'!O297</f>
        <v>8.2033100992628061E-2</v>
      </c>
      <c r="P119" s="120">
        <f>'Pseudo-load coefficients'!P297</f>
        <v>7.4728124419575992E-2</v>
      </c>
      <c r="Q119" s="120">
        <f>'Pseudo-load coefficients'!Q297</f>
        <v>9.2926400770459147E-2</v>
      </c>
      <c r="R119" s="120">
        <f>'Pseudo-load coefficients'!R297</f>
        <v>7.3124139154485485E-2</v>
      </c>
      <c r="S119" s="120">
        <f>'Pseudo-load coefficients'!S297</f>
        <v>7.3124139154485485E-2</v>
      </c>
      <c r="T119" s="120">
        <f>'Pseudo-load coefficients'!T297</f>
        <v>7.3124139154485485E-2</v>
      </c>
      <c r="U119" s="120">
        <f>'Pseudo-load coefficients'!U297</f>
        <v>7.3124139154485485E-2</v>
      </c>
      <c r="V119" s="120">
        <f>'Pseudo-load coefficients'!V297</f>
        <v>7.3124139154485485E-2</v>
      </c>
      <c r="W119" s="120">
        <f>'Pseudo-load coefficients'!W297</f>
        <v>7.3124139154485485E-2</v>
      </c>
      <c r="X119" s="120">
        <f>'Pseudo-load coefficients'!X297</f>
        <v>7.3124139154485485E-2</v>
      </c>
      <c r="Y119" s="120">
        <f>'Pseudo-load coefficients'!Y297</f>
        <v>7.3124139154485485E-2</v>
      </c>
      <c r="AQ119" s="3"/>
    </row>
    <row r="120" spans="5:43" x14ac:dyDescent="0.25">
      <c r="E120" s="32"/>
      <c r="F120" t="s">
        <v>195</v>
      </c>
      <c r="G120" t="s">
        <v>283</v>
      </c>
      <c r="J120" s="120">
        <f>'Pseudo-load coefficients'!J298</f>
        <v>0.12108790972637158</v>
      </c>
      <c r="K120" s="120">
        <f>'Pseudo-load coefficients'!K298</f>
        <v>0.12108790972637158</v>
      </c>
      <c r="L120" s="120">
        <f>'Pseudo-load coefficients'!L298</f>
        <v>0.10489041691506767</v>
      </c>
      <c r="M120" s="120">
        <f>'Pseudo-load coefficients'!M298</f>
        <v>0.10489041691506767</v>
      </c>
      <c r="N120" s="120">
        <f>'Pseudo-load coefficients'!N298</f>
        <v>8.9166669493936299E-2</v>
      </c>
      <c r="O120" s="120">
        <f>'Pseudo-load coefficients'!O298</f>
        <v>8.2033100992628061E-2</v>
      </c>
      <c r="P120" s="120">
        <f>'Pseudo-load coefficients'!P298</f>
        <v>7.4728124419575992E-2</v>
      </c>
      <c r="Q120" s="120">
        <f>'Pseudo-load coefficients'!Q298</f>
        <v>9.2926400770459147E-2</v>
      </c>
      <c r="R120" s="120">
        <f>'Pseudo-load coefficients'!R298</f>
        <v>7.3124139154485485E-2</v>
      </c>
      <c r="S120" s="120">
        <f>'Pseudo-load coefficients'!S298</f>
        <v>7.3124139154485485E-2</v>
      </c>
      <c r="T120" s="120">
        <f>'Pseudo-load coefficients'!T298</f>
        <v>7.3124139154485485E-2</v>
      </c>
      <c r="U120" s="120">
        <f>'Pseudo-load coefficients'!U298</f>
        <v>7.3124139154485485E-2</v>
      </c>
      <c r="V120" s="120">
        <f>'Pseudo-load coefficients'!V298</f>
        <v>7.3124139154485485E-2</v>
      </c>
      <c r="W120" s="120">
        <f>'Pseudo-load coefficients'!W298</f>
        <v>7.3124139154485485E-2</v>
      </c>
      <c r="X120" s="120">
        <f>'Pseudo-load coefficients'!X298</f>
        <v>7.3124139154485485E-2</v>
      </c>
      <c r="Y120" s="120">
        <f>'Pseudo-load coefficients'!Y298</f>
        <v>7.3124139154485485E-2</v>
      </c>
      <c r="AQ120" s="3"/>
    </row>
    <row r="121" spans="5:43" x14ac:dyDescent="0.25">
      <c r="E121" s="32"/>
      <c r="F121" t="s">
        <v>196</v>
      </c>
      <c r="G121" t="s">
        <v>283</v>
      </c>
      <c r="J121" s="120">
        <f>'Pseudo-load coefficients'!J299</f>
        <v>5.7563590020385365E-2</v>
      </c>
      <c r="K121" s="120">
        <f>'Pseudo-load coefficients'!K299</f>
        <v>5.7563590020385365E-2</v>
      </c>
      <c r="L121" s="120">
        <f>'Pseudo-load coefficients'!L299</f>
        <v>4.9863516266903316E-2</v>
      </c>
      <c r="M121" s="120">
        <f>'Pseudo-load coefficients'!M299</f>
        <v>4.9863516266903316E-2</v>
      </c>
      <c r="N121" s="120">
        <f>'Pseudo-load coefficients'!N299</f>
        <v>4.2388654803199526E-2</v>
      </c>
      <c r="O121" s="120">
        <f>'Pseudo-load coefficients'!O299</f>
        <v>3.8997450730723818E-2</v>
      </c>
      <c r="P121" s="120">
        <f>'Pseudo-load coefficients'!P299</f>
        <v>3.5524761529052769E-2</v>
      </c>
      <c r="Q121" s="120">
        <f>'Pseudo-load coefficients'!Q299</f>
        <v>4.4175981302415214E-2</v>
      </c>
      <c r="R121" s="120">
        <f>'Pseudo-load coefficients'!R299</f>
        <v>3.4762248158336784E-2</v>
      </c>
      <c r="S121" s="120">
        <f>'Pseudo-load coefficients'!S299</f>
        <v>3.4762248158336784E-2</v>
      </c>
      <c r="T121" s="120">
        <f>'Pseudo-load coefficients'!T299</f>
        <v>3.4762248158336784E-2</v>
      </c>
      <c r="U121" s="120">
        <f>'Pseudo-load coefficients'!U299</f>
        <v>3.4762248158336784E-2</v>
      </c>
      <c r="V121" s="120">
        <f>'Pseudo-load coefficients'!V299</f>
        <v>3.4762248158336784E-2</v>
      </c>
      <c r="W121" s="120">
        <f>'Pseudo-load coefficients'!W299</f>
        <v>3.4762248158336784E-2</v>
      </c>
      <c r="X121" s="120">
        <f>'Pseudo-load coefficients'!X299</f>
        <v>3.4762248158336784E-2</v>
      </c>
      <c r="Y121" s="120">
        <f>'Pseudo-load coefficients'!Y299</f>
        <v>3.4762248158336784E-2</v>
      </c>
      <c r="AQ121" s="3"/>
    </row>
    <row r="122" spans="5:43" x14ac:dyDescent="0.25">
      <c r="E122" s="32"/>
      <c r="F122" t="s">
        <v>197</v>
      </c>
      <c r="G122" t="s">
        <v>283</v>
      </c>
      <c r="J122" s="120">
        <f>'Pseudo-load coefficients'!J300</f>
        <v>0.12108790972637158</v>
      </c>
      <c r="K122" s="120">
        <f>'Pseudo-load coefficients'!K300</f>
        <v>0.12108790972637158</v>
      </c>
      <c r="L122" s="120">
        <f>'Pseudo-load coefficients'!L300</f>
        <v>0.10489041691506767</v>
      </c>
      <c r="M122" s="120">
        <f>'Pseudo-load coefficients'!M300</f>
        <v>0.10489041691506767</v>
      </c>
      <c r="N122" s="120">
        <f>'Pseudo-load coefficients'!N300</f>
        <v>8.9166669493936299E-2</v>
      </c>
      <c r="O122" s="120">
        <f>'Pseudo-load coefficients'!O300</f>
        <v>8.2033100992628061E-2</v>
      </c>
      <c r="P122" s="120">
        <f>'Pseudo-load coefficients'!P300</f>
        <v>7.4728124419575992E-2</v>
      </c>
      <c r="Q122" s="120">
        <f>'Pseudo-load coefficients'!Q300</f>
        <v>9.2926400770459147E-2</v>
      </c>
      <c r="R122" s="120">
        <f>'Pseudo-load coefficients'!R300</f>
        <v>7.3124139154485485E-2</v>
      </c>
      <c r="S122" s="120">
        <f>'Pseudo-load coefficients'!S300</f>
        <v>7.3124139154485485E-2</v>
      </c>
      <c r="T122" s="120">
        <f>'Pseudo-load coefficients'!T300</f>
        <v>7.3124139154485485E-2</v>
      </c>
      <c r="U122" s="120">
        <f>'Pseudo-load coefficients'!U300</f>
        <v>7.3124139154485485E-2</v>
      </c>
      <c r="V122" s="120">
        <f>'Pseudo-load coefficients'!V300</f>
        <v>7.3124139154485485E-2</v>
      </c>
      <c r="W122" s="120">
        <f>'Pseudo-load coefficients'!W300</f>
        <v>7.3124139154485485E-2</v>
      </c>
      <c r="X122" s="120">
        <f>'Pseudo-load coefficients'!X300</f>
        <v>7.3124139154485485E-2</v>
      </c>
      <c r="Y122" s="120">
        <f>'Pseudo-load coefficients'!Y300</f>
        <v>7.3124139154485485E-2</v>
      </c>
      <c r="AQ122" s="3"/>
    </row>
    <row r="123" spans="5:43" x14ac:dyDescent="0.25">
      <c r="E123" s="32"/>
      <c r="F123" t="s">
        <v>198</v>
      </c>
      <c r="G123" t="s">
        <v>283</v>
      </c>
      <c r="J123" s="120">
        <f>'Pseudo-load coefficients'!J301</f>
        <v>0.12108790972637158</v>
      </c>
      <c r="K123" s="120">
        <f>'Pseudo-load coefficients'!K301</f>
        <v>0.12108790972637158</v>
      </c>
      <c r="L123" s="120">
        <f>'Pseudo-load coefficients'!L301</f>
        <v>0.10489041691506767</v>
      </c>
      <c r="M123" s="120">
        <f>'Pseudo-load coefficients'!M301</f>
        <v>0.10489041691506767</v>
      </c>
      <c r="N123" s="120">
        <f>'Pseudo-load coefficients'!N301</f>
        <v>8.9166669493936299E-2</v>
      </c>
      <c r="O123" s="120">
        <f>'Pseudo-load coefficients'!O301</f>
        <v>8.2033100992628061E-2</v>
      </c>
      <c r="P123" s="120">
        <f>'Pseudo-load coefficients'!P301</f>
        <v>7.4728124419575992E-2</v>
      </c>
      <c r="Q123" s="120">
        <f>'Pseudo-load coefficients'!Q301</f>
        <v>9.2926400770459147E-2</v>
      </c>
      <c r="R123" s="120">
        <f>'Pseudo-load coefficients'!R301</f>
        <v>7.3124139154485485E-2</v>
      </c>
      <c r="S123" s="120">
        <f>'Pseudo-load coefficients'!S301</f>
        <v>7.3124139154485485E-2</v>
      </c>
      <c r="T123" s="120">
        <f>'Pseudo-load coefficients'!T301</f>
        <v>7.3124139154485485E-2</v>
      </c>
      <c r="U123" s="120">
        <f>'Pseudo-load coefficients'!U301</f>
        <v>7.3124139154485485E-2</v>
      </c>
      <c r="V123" s="120">
        <f>'Pseudo-load coefficients'!V301</f>
        <v>7.3124139154485485E-2</v>
      </c>
      <c r="W123" s="120">
        <f>'Pseudo-load coefficients'!W301</f>
        <v>7.3124139154485485E-2</v>
      </c>
      <c r="X123" s="120">
        <f>'Pseudo-load coefficients'!X301</f>
        <v>7.3124139154485485E-2</v>
      </c>
      <c r="Y123" s="120">
        <f>'Pseudo-load coefficients'!Y301</f>
        <v>7.3124139154485485E-2</v>
      </c>
      <c r="AQ123" s="3"/>
    </row>
    <row r="124" spans="5:43" x14ac:dyDescent="0.25">
      <c r="E124" s="32"/>
      <c r="F124" s="37" t="s">
        <v>199</v>
      </c>
      <c r="G124" s="37" t="s">
        <v>283</v>
      </c>
      <c r="H124" s="37"/>
      <c r="I124" s="37"/>
      <c r="J124" s="125">
        <f>'Pseudo-load coefficients'!J302</f>
        <v>0.12108790972637158</v>
      </c>
      <c r="K124" s="125">
        <f>'Pseudo-load coefficients'!K302</f>
        <v>0.12108790972637158</v>
      </c>
      <c r="L124" s="125">
        <f>'Pseudo-load coefficients'!L302</f>
        <v>0.10489041691506767</v>
      </c>
      <c r="M124" s="125">
        <f>'Pseudo-load coefficients'!M302</f>
        <v>0.10489041691506767</v>
      </c>
      <c r="N124" s="125">
        <f>'Pseudo-load coefficients'!N302</f>
        <v>8.9166669493936299E-2</v>
      </c>
      <c r="O124" s="125">
        <f>'Pseudo-load coefficients'!O302</f>
        <v>8.2033100992628061E-2</v>
      </c>
      <c r="P124" s="125">
        <f>'Pseudo-load coefficients'!P302</f>
        <v>7.4728124419575992E-2</v>
      </c>
      <c r="Q124" s="125">
        <f>'Pseudo-load coefficients'!Q302</f>
        <v>9.2926400770459147E-2</v>
      </c>
      <c r="R124" s="125">
        <f>'Pseudo-load coefficients'!R302</f>
        <v>7.3124139154485485E-2</v>
      </c>
      <c r="S124" s="125">
        <f>'Pseudo-load coefficients'!S302</f>
        <v>7.3124139154485485E-2</v>
      </c>
      <c r="T124" s="125">
        <f>'Pseudo-load coefficients'!T302</f>
        <v>7.3124139154485485E-2</v>
      </c>
      <c r="U124" s="125">
        <f>'Pseudo-load coefficients'!U302</f>
        <v>7.3124139154485485E-2</v>
      </c>
      <c r="V124" s="125">
        <f>'Pseudo-load coefficients'!V302</f>
        <v>7.3124139154485485E-2</v>
      </c>
      <c r="W124" s="125">
        <f>'Pseudo-load coefficients'!W302</f>
        <v>7.3124139154485485E-2</v>
      </c>
      <c r="X124" s="125">
        <f>'Pseudo-load coefficients'!X302</f>
        <v>7.3124139154485485E-2</v>
      </c>
      <c r="Y124" s="125">
        <f>'Pseudo-load coefficients'!Y302</f>
        <v>7.3124139154485485E-2</v>
      </c>
      <c r="AQ124" s="3"/>
    </row>
    <row r="125" spans="5:43" x14ac:dyDescent="0.25">
      <c r="E125" s="32"/>
      <c r="J125" s="89"/>
      <c r="K125" s="89"/>
      <c r="L125" s="89"/>
      <c r="M125" s="89"/>
      <c r="N125" s="89"/>
      <c r="O125" s="89"/>
      <c r="P125" s="89"/>
      <c r="Q125" s="89"/>
      <c r="R125" s="89"/>
      <c r="S125" s="89"/>
      <c r="T125" s="89"/>
      <c r="U125" s="89"/>
      <c r="V125" s="89"/>
      <c r="W125" s="89"/>
      <c r="X125" s="89"/>
      <c r="Y125" s="89"/>
      <c r="AQ125" s="3"/>
    </row>
    <row r="126" spans="5:43" x14ac:dyDescent="0.25">
      <c r="E126" s="32" t="s">
        <v>514</v>
      </c>
      <c r="J126" s="89"/>
      <c r="K126" s="89"/>
      <c r="L126" s="89"/>
      <c r="M126" s="89"/>
      <c r="N126" s="89"/>
      <c r="O126" s="89"/>
      <c r="P126" s="89"/>
      <c r="Q126" s="89"/>
      <c r="R126" s="89"/>
      <c r="S126" s="89"/>
      <c r="T126" s="89"/>
      <c r="U126" s="89"/>
      <c r="V126" s="89"/>
      <c r="W126" s="89"/>
      <c r="X126" s="89"/>
      <c r="Y126" s="89"/>
      <c r="AQ126" s="3"/>
    </row>
    <row r="127" spans="5:43" x14ac:dyDescent="0.25">
      <c r="E127" s="29" t="s">
        <v>515</v>
      </c>
      <c r="J127" s="89"/>
      <c r="K127" s="89"/>
      <c r="L127" s="89"/>
      <c r="M127" s="89"/>
      <c r="N127" s="89"/>
      <c r="O127" s="89"/>
      <c r="P127" s="89"/>
      <c r="Q127" s="89"/>
      <c r="R127" s="89"/>
      <c r="S127" s="89"/>
      <c r="T127" s="89"/>
      <c r="U127" s="89"/>
      <c r="V127" s="89"/>
      <c r="W127" s="89"/>
      <c r="X127" s="89"/>
      <c r="Y127" s="89"/>
      <c r="AQ127" s="3"/>
    </row>
    <row r="128" spans="5:43" x14ac:dyDescent="0.25">
      <c r="E128" s="32"/>
      <c r="F128" s="23" t="s">
        <v>191</v>
      </c>
      <c r="G128" s="23" t="s">
        <v>172</v>
      </c>
      <c r="H128" s="23"/>
      <c r="I128" s="23"/>
      <c r="J128" s="158">
        <f t="shared" ref="J128:Y128" si="19">J$58 * J34 * J116 / hours_in_year / $H45</f>
        <v>0</v>
      </c>
      <c r="K128" s="158">
        <f t="shared" si="19"/>
        <v>0</v>
      </c>
      <c r="L128" s="158">
        <f t="shared" si="19"/>
        <v>0</v>
      </c>
      <c r="M128" s="158">
        <f t="shared" si="19"/>
        <v>0</v>
      </c>
      <c r="N128" s="158">
        <f t="shared" si="19"/>
        <v>0</v>
      </c>
      <c r="O128" s="158">
        <f t="shared" si="19"/>
        <v>0</v>
      </c>
      <c r="P128" s="158">
        <f t="shared" si="19"/>
        <v>0</v>
      </c>
      <c r="Q128" s="158">
        <f t="shared" si="19"/>
        <v>0</v>
      </c>
      <c r="R128" s="158">
        <f t="shared" si="19"/>
        <v>0</v>
      </c>
      <c r="S128" s="158">
        <f t="shared" si="19"/>
        <v>0</v>
      </c>
      <c r="T128" s="158">
        <f t="shared" si="19"/>
        <v>0</v>
      </c>
      <c r="U128" s="158">
        <f t="shared" si="19"/>
        <v>0</v>
      </c>
      <c r="V128" s="158">
        <f t="shared" si="19"/>
        <v>0</v>
      </c>
      <c r="W128" s="158">
        <f t="shared" si="19"/>
        <v>0</v>
      </c>
      <c r="X128" s="158">
        <f t="shared" si="19"/>
        <v>0</v>
      </c>
      <c r="Y128" s="158">
        <f t="shared" si="19"/>
        <v>0</v>
      </c>
      <c r="AQ128" s="3"/>
    </row>
    <row r="129" spans="3:43" x14ac:dyDescent="0.25">
      <c r="E129" s="32"/>
      <c r="F129" t="s">
        <v>192</v>
      </c>
      <c r="G129" t="s">
        <v>172</v>
      </c>
      <c r="J129" s="89">
        <f t="shared" ref="J129:Y129" si="20">J$58 * J35 * J117 / hours_in_year / $H46</f>
        <v>34.423777548421576</v>
      </c>
      <c r="K129" s="89">
        <f t="shared" si="20"/>
        <v>6.9917252382973832E-2</v>
      </c>
      <c r="L129" s="89">
        <f t="shared" si="20"/>
        <v>9.0856336635992196</v>
      </c>
      <c r="M129" s="89">
        <f t="shared" si="20"/>
        <v>1.0970792343437008E-2</v>
      </c>
      <c r="N129" s="89">
        <f t="shared" si="20"/>
        <v>8.3241727178183726</v>
      </c>
      <c r="O129" s="89">
        <f t="shared" si="20"/>
        <v>0.57836626672415792</v>
      </c>
      <c r="P129" s="89">
        <f t="shared" si="20"/>
        <v>15.80575527543999</v>
      </c>
      <c r="Q129" s="89">
        <f t="shared" si="20"/>
        <v>0.8814549187211691</v>
      </c>
      <c r="R129" s="89">
        <f t="shared" si="20"/>
        <v>-1.5586157619534085E-3</v>
      </c>
      <c r="S129" s="89">
        <f t="shared" si="20"/>
        <v>0</v>
      </c>
      <c r="T129" s="89">
        <f t="shared" si="20"/>
        <v>-0.10157620834741535</v>
      </c>
      <c r="U129" s="89">
        <f t="shared" si="20"/>
        <v>0</v>
      </c>
      <c r="V129" s="89">
        <f t="shared" si="20"/>
        <v>-1.7304886916362165E-2</v>
      </c>
      <c r="W129" s="89">
        <f t="shared" si="20"/>
        <v>0</v>
      </c>
      <c r="X129" s="89">
        <f t="shared" si="20"/>
        <v>-2.6657815591198539</v>
      </c>
      <c r="Y129" s="89">
        <f t="shared" si="20"/>
        <v>0</v>
      </c>
      <c r="AQ129" s="3"/>
    </row>
    <row r="130" spans="3:43" x14ac:dyDescent="0.25">
      <c r="E130" s="32"/>
      <c r="F130" t="s">
        <v>193</v>
      </c>
      <c r="G130" t="s">
        <v>172</v>
      </c>
      <c r="J130" s="89">
        <f t="shared" ref="J130:Y130" si="21">J$58 * J36 * J118 / hours_in_year / $H47</f>
        <v>31.745516095452864</v>
      </c>
      <c r="K130" s="89">
        <f t="shared" si="21"/>
        <v>6.4477504183015164E-2</v>
      </c>
      <c r="L130" s="89">
        <f t="shared" si="21"/>
        <v>8.3787471987775088</v>
      </c>
      <c r="M130" s="89">
        <f t="shared" si="21"/>
        <v>1.0117235519215114E-2</v>
      </c>
      <c r="N130" s="89">
        <f t="shared" si="21"/>
        <v>7.6765299398975912</v>
      </c>
      <c r="O130" s="89">
        <f t="shared" si="21"/>
        <v>0.5333678328455449</v>
      </c>
      <c r="P130" s="89">
        <f t="shared" si="21"/>
        <v>14.576025475166839</v>
      </c>
      <c r="Q130" s="89">
        <f t="shared" si="21"/>
        <v>0.81287538156782058</v>
      </c>
      <c r="R130" s="89">
        <f t="shared" si="21"/>
        <v>-1.4373513100972035E-3</v>
      </c>
      <c r="S130" s="89">
        <f t="shared" si="21"/>
        <v>0</v>
      </c>
      <c r="T130" s="89">
        <f t="shared" si="21"/>
        <v>-9.367330916754088E-2</v>
      </c>
      <c r="U130" s="89">
        <f t="shared" si="21"/>
        <v>0</v>
      </c>
      <c r="V130" s="89">
        <f t="shared" si="21"/>
        <v>-1.5958520687063757E-2</v>
      </c>
      <c r="W130" s="89">
        <f t="shared" si="21"/>
        <v>0</v>
      </c>
      <c r="X130" s="89">
        <f t="shared" si="21"/>
        <v>-2.458376663425804</v>
      </c>
      <c r="Y130" s="89">
        <f t="shared" si="21"/>
        <v>0</v>
      </c>
      <c r="AQ130" s="3"/>
    </row>
    <row r="131" spans="3:43" x14ac:dyDescent="0.25">
      <c r="E131" s="32"/>
      <c r="F131" t="s">
        <v>194</v>
      </c>
      <c r="G131" t="s">
        <v>172</v>
      </c>
      <c r="J131" s="89">
        <f t="shared" ref="J131:Y131" si="22">J$58 * J37 * J119 / hours_in_year / $H48</f>
        <v>66.251440953586183</v>
      </c>
      <c r="K131" s="89">
        <f t="shared" si="22"/>
        <v>0.1345616038615137</v>
      </c>
      <c r="L131" s="89">
        <f t="shared" si="22"/>
        <v>17.486062398095502</v>
      </c>
      <c r="M131" s="89">
        <f t="shared" si="22"/>
        <v>2.1114208053804935E-2</v>
      </c>
      <c r="N131" s="89">
        <f t="shared" si="22"/>
        <v>16.020567078271867</v>
      </c>
      <c r="O131" s="89">
        <f t="shared" si="22"/>
        <v>1.1131142860635466</v>
      </c>
      <c r="P131" s="89">
        <f t="shared" si="22"/>
        <v>30.419498873552904</v>
      </c>
      <c r="Q131" s="89">
        <f t="shared" si="22"/>
        <v>1.6964337635159201</v>
      </c>
      <c r="R131" s="89">
        <f t="shared" si="22"/>
        <v>-2.9996864805768462E-3</v>
      </c>
      <c r="S131" s="89">
        <f t="shared" si="22"/>
        <v>0</v>
      </c>
      <c r="T131" s="89">
        <f t="shared" si="22"/>
        <v>-0.19549191427791235</v>
      </c>
      <c r="U131" s="89">
        <f t="shared" si="22"/>
        <v>0</v>
      </c>
      <c r="V131" s="89">
        <f t="shared" si="22"/>
        <v>-3.3304703184744551E-2</v>
      </c>
      <c r="W131" s="89">
        <f t="shared" si="22"/>
        <v>0</v>
      </c>
      <c r="X131" s="89">
        <f t="shared" si="22"/>
        <v>-5.1305197202939166</v>
      </c>
      <c r="Y131" s="89">
        <f t="shared" si="22"/>
        <v>0</v>
      </c>
      <c r="AQ131" s="3"/>
    </row>
    <row r="132" spans="3:43" x14ac:dyDescent="0.25">
      <c r="E132" s="32"/>
      <c r="F132" t="s">
        <v>195</v>
      </c>
      <c r="G132" t="s">
        <v>172</v>
      </c>
      <c r="J132" s="89">
        <f t="shared" ref="J132:Y132" si="23">J$58 * J38 * J120 / hours_in_year / $H49</f>
        <v>65.861726595035677</v>
      </c>
      <c r="K132" s="89">
        <f t="shared" si="23"/>
        <v>0.1337700650152695</v>
      </c>
      <c r="L132" s="89">
        <f t="shared" si="23"/>
        <v>17.38320320751847</v>
      </c>
      <c r="M132" s="89">
        <f t="shared" si="23"/>
        <v>2.0990006829959024E-2</v>
      </c>
      <c r="N132" s="89">
        <f t="shared" si="23"/>
        <v>15.92632844839968</v>
      </c>
      <c r="O132" s="89">
        <f t="shared" si="23"/>
        <v>1.1065665549690551</v>
      </c>
      <c r="P132" s="89">
        <f t="shared" si="23"/>
        <v>30.240560644884944</v>
      </c>
      <c r="Q132" s="89">
        <f t="shared" si="23"/>
        <v>1.686454741377591</v>
      </c>
      <c r="R132" s="89">
        <f t="shared" si="23"/>
        <v>-2.9820412659852177E-3</v>
      </c>
      <c r="S132" s="89">
        <f t="shared" si="23"/>
        <v>0</v>
      </c>
      <c r="T132" s="89">
        <f t="shared" si="23"/>
        <v>-0.19434196184098346</v>
      </c>
      <c r="U132" s="89">
        <f t="shared" si="23"/>
        <v>0</v>
      </c>
      <c r="V132" s="89">
        <f t="shared" si="23"/>
        <v>-3.3108793166010758E-2</v>
      </c>
      <c r="W132" s="89">
        <f t="shared" si="23"/>
        <v>0</v>
      </c>
      <c r="X132" s="89">
        <f t="shared" si="23"/>
        <v>-5.1003401925274812</v>
      </c>
      <c r="Y132" s="89">
        <f t="shared" si="23"/>
        <v>0</v>
      </c>
      <c r="AQ132" s="3"/>
    </row>
    <row r="133" spans="3:43" x14ac:dyDescent="0.25">
      <c r="E133" s="32"/>
      <c r="F133" t="s">
        <v>196</v>
      </c>
      <c r="G133" t="s">
        <v>172</v>
      </c>
      <c r="J133" s="89">
        <f t="shared" ref="J133:Y133" si="24">J$58 * J39 * J121 / hours_in_year / $H50</f>
        <v>2.5402545970992767</v>
      </c>
      <c r="K133" s="89">
        <f t="shared" si="24"/>
        <v>5.1594460117740165E-3</v>
      </c>
      <c r="L133" s="89">
        <f t="shared" si="24"/>
        <v>0.6704616496272976</v>
      </c>
      <c r="M133" s="89">
        <f t="shared" si="24"/>
        <v>8.0957430209501369E-4</v>
      </c>
      <c r="N133" s="89">
        <f t="shared" si="24"/>
        <v>0.61427070238710846</v>
      </c>
      <c r="O133" s="89">
        <f t="shared" si="24"/>
        <v>4.2679731060502241E-2</v>
      </c>
      <c r="P133" s="89">
        <f t="shared" si="24"/>
        <v>1.166363640439676</v>
      </c>
      <c r="Q133" s="89">
        <f t="shared" si="24"/>
        <v>6.5045734921671552E-2</v>
      </c>
      <c r="R133" s="89">
        <f t="shared" si="24"/>
        <v>-1.1501587380537442E-4</v>
      </c>
      <c r="S133" s="89">
        <f t="shared" si="24"/>
        <v>0</v>
      </c>
      <c r="T133" s="89">
        <f t="shared" si="24"/>
        <v>-7.4956744606975035E-3</v>
      </c>
      <c r="U133" s="89">
        <f t="shared" si="24"/>
        <v>0</v>
      </c>
      <c r="V133" s="89">
        <f t="shared" si="24"/>
        <v>-1.276989966593243E-3</v>
      </c>
      <c r="W133" s="89">
        <f t="shared" si="24"/>
        <v>0</v>
      </c>
      <c r="X133" s="89">
        <f t="shared" si="24"/>
        <v>-0.19671762783417093</v>
      </c>
      <c r="Y133" s="89">
        <f t="shared" si="24"/>
        <v>0</v>
      </c>
      <c r="AQ133" s="3"/>
    </row>
    <row r="134" spans="3:43" x14ac:dyDescent="0.25">
      <c r="E134" s="32"/>
      <c r="F134" t="s">
        <v>197</v>
      </c>
      <c r="G134" t="s">
        <v>172</v>
      </c>
      <c r="J134" s="89">
        <f t="shared" ref="J134:Y134" si="25">J$58 * J40 * J122 / hours_in_year / $H51</f>
        <v>70.105584588142378</v>
      </c>
      <c r="K134" s="89">
        <f t="shared" si="25"/>
        <v>0.14238965622556499</v>
      </c>
      <c r="L134" s="89">
        <f t="shared" si="25"/>
        <v>18.50330511938644</v>
      </c>
      <c r="M134" s="89">
        <f t="shared" si="25"/>
        <v>2.2342516289791493E-2</v>
      </c>
      <c r="N134" s="89">
        <f t="shared" si="25"/>
        <v>16.952555360156317</v>
      </c>
      <c r="O134" s="89">
        <f t="shared" si="25"/>
        <v>1.1778691393681096</v>
      </c>
      <c r="P134" s="89">
        <f t="shared" si="25"/>
        <v>32.189137635554005</v>
      </c>
      <c r="Q134" s="89">
        <f t="shared" si="25"/>
        <v>1.7951229285664072</v>
      </c>
      <c r="R134" s="89">
        <f t="shared" si="25"/>
        <v>-3.1741917047406342E-3</v>
      </c>
      <c r="S134" s="89">
        <f t="shared" si="25"/>
        <v>0</v>
      </c>
      <c r="T134" s="89">
        <f t="shared" si="25"/>
        <v>-0.20686455623371933</v>
      </c>
      <c r="U134" s="89">
        <f t="shared" si="25"/>
        <v>0</v>
      </c>
      <c r="V134" s="89">
        <f t="shared" si="25"/>
        <v>-3.5242187229358651E-2</v>
      </c>
      <c r="W134" s="89">
        <f t="shared" si="25"/>
        <v>0</v>
      </c>
      <c r="X134" s="89">
        <f t="shared" si="25"/>
        <v>0</v>
      </c>
      <c r="Y134" s="89">
        <f t="shared" si="25"/>
        <v>0</v>
      </c>
      <c r="AQ134" s="3"/>
    </row>
    <row r="135" spans="3:43" x14ac:dyDescent="0.25">
      <c r="E135" s="32"/>
      <c r="F135" t="s">
        <v>198</v>
      </c>
      <c r="G135" t="s">
        <v>172</v>
      </c>
      <c r="J135" s="89">
        <f t="shared" ref="J135:Y135" si="26">J$58 * J41 * J123 / hours_in_year / $H52</f>
        <v>69.369040719499054</v>
      </c>
      <c r="K135" s="89">
        <f t="shared" si="26"/>
        <v>0.14089368084974721</v>
      </c>
      <c r="L135" s="89">
        <f t="shared" si="26"/>
        <v>18.308905543156023</v>
      </c>
      <c r="M135" s="89">
        <f t="shared" si="26"/>
        <v>2.2107781161627496E-2</v>
      </c>
      <c r="N135" s="89">
        <f t="shared" si="26"/>
        <v>16.774448283784093</v>
      </c>
      <c r="O135" s="89">
        <f t="shared" si="26"/>
        <v>1.1654942009411284</v>
      </c>
      <c r="P135" s="89">
        <f t="shared" si="26"/>
        <v>0</v>
      </c>
      <c r="Q135" s="89">
        <f t="shared" si="26"/>
        <v>1.7762629933092626</v>
      </c>
      <c r="R135" s="89">
        <f t="shared" si="26"/>
        <v>-3.1408429857796537E-3</v>
      </c>
      <c r="S135" s="89">
        <f t="shared" si="26"/>
        <v>0</v>
      </c>
      <c r="T135" s="89">
        <f t="shared" si="26"/>
        <v>-0.20469119413384265</v>
      </c>
      <c r="U135" s="89">
        <f t="shared" si="26"/>
        <v>0</v>
      </c>
      <c r="V135" s="89">
        <f t="shared" si="26"/>
        <v>0</v>
      </c>
      <c r="W135" s="89">
        <f t="shared" si="26"/>
        <v>0</v>
      </c>
      <c r="X135" s="89">
        <f t="shared" si="26"/>
        <v>0</v>
      </c>
      <c r="Y135" s="89">
        <f t="shared" si="26"/>
        <v>0</v>
      </c>
      <c r="AQ135" s="3"/>
    </row>
    <row r="136" spans="3:43" x14ac:dyDescent="0.25">
      <c r="E136" s="32"/>
      <c r="F136" s="37" t="s">
        <v>199</v>
      </c>
      <c r="G136" s="37" t="s">
        <v>172</v>
      </c>
      <c r="H136" s="37"/>
      <c r="I136" s="37"/>
      <c r="J136" s="82">
        <f t="shared" ref="J136:Y136" si="27">J$58 * J42 * J124 / hours_in_year / $H53</f>
        <v>67.374198175617352</v>
      </c>
      <c r="K136" s="82">
        <f t="shared" si="27"/>
        <v>0.13684200728171181</v>
      </c>
      <c r="L136" s="82">
        <f t="shared" si="27"/>
        <v>17.782397127722032</v>
      </c>
      <c r="M136" s="82">
        <f t="shared" si="27"/>
        <v>2.1472028642137278E-2</v>
      </c>
      <c r="N136" s="82">
        <f t="shared" si="27"/>
        <v>16.292066190280096</v>
      </c>
      <c r="O136" s="82">
        <f t="shared" si="27"/>
        <v>0</v>
      </c>
      <c r="P136" s="82">
        <f t="shared" si="27"/>
        <v>0</v>
      </c>
      <c r="Q136" s="82">
        <f t="shared" si="27"/>
        <v>1.7251830742066769</v>
      </c>
      <c r="R136" s="82">
        <f t="shared" si="27"/>
        <v>0</v>
      </c>
      <c r="S136" s="82">
        <f t="shared" si="27"/>
        <v>0</v>
      </c>
      <c r="T136" s="82">
        <f t="shared" si="27"/>
        <v>0</v>
      </c>
      <c r="U136" s="82">
        <f t="shared" si="27"/>
        <v>0</v>
      </c>
      <c r="V136" s="82">
        <f t="shared" si="27"/>
        <v>0</v>
      </c>
      <c r="W136" s="82">
        <f t="shared" si="27"/>
        <v>0</v>
      </c>
      <c r="X136" s="82">
        <f t="shared" si="27"/>
        <v>0</v>
      </c>
      <c r="Y136" s="82">
        <f t="shared" si="27"/>
        <v>0</v>
      </c>
      <c r="AQ136" s="3"/>
    </row>
    <row r="137" spans="3:43" x14ac:dyDescent="0.25">
      <c r="D137" s="32"/>
      <c r="J137" s="89"/>
      <c r="K137" s="89"/>
      <c r="L137" s="89"/>
      <c r="M137" s="89"/>
      <c r="N137" s="89"/>
      <c r="O137" s="89"/>
      <c r="P137" s="89"/>
      <c r="Q137" s="89"/>
      <c r="R137" s="89"/>
      <c r="S137" s="89"/>
      <c r="T137" s="89"/>
      <c r="U137" s="89"/>
      <c r="V137" s="89"/>
      <c r="W137" s="89"/>
      <c r="X137" s="89"/>
      <c r="Y137" s="89"/>
      <c r="AQ137" s="3"/>
    </row>
    <row r="138" spans="3:43" x14ac:dyDescent="0.25">
      <c r="C138" s="31" t="str">
        <f ca="1">INDEX('Version control'!$H$34:$H$57,MATCH($A$1,'Version control'!$F$34:$F$57,0),1)&amp;"-C: System peak load, all unit rates"</f>
        <v>Section 106-C: System peak load, all unit rates</v>
      </c>
      <c r="D138" s="31"/>
      <c r="E138" s="31"/>
      <c r="F138" s="31"/>
      <c r="G138" s="31"/>
      <c r="H138" s="31"/>
      <c r="I138" s="31"/>
      <c r="J138" s="90"/>
      <c r="K138" s="90"/>
      <c r="L138" s="90"/>
      <c r="M138" s="90"/>
      <c r="N138" s="90"/>
      <c r="O138" s="90"/>
      <c r="P138" s="90"/>
      <c r="Q138" s="90"/>
      <c r="R138" s="90"/>
      <c r="S138" s="90"/>
      <c r="T138" s="90"/>
      <c r="U138" s="90"/>
      <c r="V138" s="90"/>
      <c r="W138" s="90"/>
      <c r="X138" s="90"/>
      <c r="Y138" s="90"/>
      <c r="Z138" s="31"/>
      <c r="AA138" s="31"/>
      <c r="AQ138" s="3"/>
    </row>
    <row r="139" spans="3:43" x14ac:dyDescent="0.25">
      <c r="H139" s="63"/>
      <c r="J139" s="89"/>
      <c r="K139" s="89"/>
      <c r="L139" s="89"/>
      <c r="M139" s="89"/>
      <c r="N139" s="89"/>
      <c r="O139" s="89"/>
      <c r="P139" s="89"/>
      <c r="Q139" s="89"/>
      <c r="R139" s="89"/>
      <c r="S139" s="89"/>
      <c r="T139" s="89"/>
      <c r="U139" s="89"/>
      <c r="V139" s="89"/>
      <c r="W139" s="89"/>
      <c r="X139" s="89"/>
      <c r="Y139" s="89"/>
    </row>
    <row r="140" spans="3:43" x14ac:dyDescent="0.25">
      <c r="E140" s="32" t="s">
        <v>516</v>
      </c>
      <c r="J140" s="89"/>
      <c r="K140" s="89"/>
      <c r="L140" s="89"/>
      <c r="M140" s="89"/>
      <c r="N140" s="89"/>
      <c r="O140" s="89"/>
      <c r="P140" s="89"/>
      <c r="Q140" s="89"/>
      <c r="R140" s="89"/>
      <c r="S140" s="89"/>
      <c r="T140" s="89"/>
      <c r="U140" s="89"/>
      <c r="V140" s="89"/>
      <c r="W140" s="89"/>
      <c r="X140" s="89"/>
      <c r="Y140" s="89"/>
      <c r="AQ140" s="3"/>
    </row>
    <row r="141" spans="3:43" x14ac:dyDescent="0.25">
      <c r="E141" s="29" t="s">
        <v>517</v>
      </c>
      <c r="J141" s="89"/>
      <c r="K141" s="89"/>
      <c r="L141" s="89"/>
      <c r="M141" s="89"/>
      <c r="N141" s="89"/>
      <c r="O141" s="89"/>
      <c r="P141" s="89"/>
      <c r="Q141" s="89"/>
      <c r="R141" s="89"/>
      <c r="S141" s="89"/>
      <c r="T141" s="89"/>
      <c r="U141" s="89"/>
      <c r="V141" s="89"/>
      <c r="W141" s="89"/>
      <c r="X141" s="89"/>
      <c r="Y141" s="89"/>
      <c r="AQ141" s="3"/>
    </row>
    <row r="142" spans="3:43" x14ac:dyDescent="0.25">
      <c r="C142" s="32"/>
      <c r="F142" s="23" t="s">
        <v>191</v>
      </c>
      <c r="G142" s="23" t="s">
        <v>172</v>
      </c>
      <c r="H142" s="23"/>
      <c r="I142" s="23"/>
      <c r="J142" s="158">
        <f t="shared" ref="J142:Y142" si="28">J82 + J105 + J128</f>
        <v>2222.2180989973731</v>
      </c>
      <c r="K142" s="158">
        <f t="shared" si="28"/>
        <v>2.1462319218645596</v>
      </c>
      <c r="L142" s="158">
        <f t="shared" si="28"/>
        <v>664.51517969944632</v>
      </c>
      <c r="M142" s="158">
        <f t="shared" si="28"/>
        <v>8.6603779101051492E-2</v>
      </c>
      <c r="N142" s="158">
        <f t="shared" si="28"/>
        <v>598.9701258511152</v>
      </c>
      <c r="O142" s="158">
        <f t="shared" si="28"/>
        <v>43.643002236218337</v>
      </c>
      <c r="P142" s="158">
        <f t="shared" si="28"/>
        <v>948.25736910054172</v>
      </c>
      <c r="Q142" s="158">
        <f t="shared" si="28"/>
        <v>43.586513359212276</v>
      </c>
      <c r="R142" s="158">
        <f t="shared" si="28"/>
        <v>-0.16802711099503781</v>
      </c>
      <c r="S142" s="158">
        <f t="shared" si="28"/>
        <v>0</v>
      </c>
      <c r="T142" s="158">
        <f t="shared" si="28"/>
        <v>-6.6228943047013891</v>
      </c>
      <c r="U142" s="158">
        <f t="shared" si="28"/>
        <v>0</v>
      </c>
      <c r="V142" s="158">
        <f t="shared" si="28"/>
        <v>-0.83635507087135519</v>
      </c>
      <c r="W142" s="158">
        <f t="shared" si="28"/>
        <v>0</v>
      </c>
      <c r="X142" s="158">
        <f t="shared" si="28"/>
        <v>-291.32372941908773</v>
      </c>
      <c r="Y142" s="158">
        <f t="shared" si="28"/>
        <v>0</v>
      </c>
      <c r="AQ142" s="3"/>
    </row>
    <row r="143" spans="3:43" x14ac:dyDescent="0.25">
      <c r="C143" s="32"/>
      <c r="F143" t="s">
        <v>192</v>
      </c>
      <c r="G143" t="s">
        <v>172</v>
      </c>
      <c r="J143" s="89">
        <f t="shared" ref="J143:Y143" si="29">J83 + J106 + J129</f>
        <v>2167.4734416852571</v>
      </c>
      <c r="K143" s="89">
        <f t="shared" si="29"/>
        <v>2.3342747889454247</v>
      </c>
      <c r="L143" s="89">
        <f t="shared" si="29"/>
        <v>669.85583294661512</v>
      </c>
      <c r="M143" s="89">
        <f t="shared" si="29"/>
        <v>0.11671645325186422</v>
      </c>
      <c r="N143" s="89">
        <f t="shared" si="29"/>
        <v>605.46047940920676</v>
      </c>
      <c r="O143" s="89">
        <f t="shared" si="29"/>
        <v>43.462033923313648</v>
      </c>
      <c r="P143" s="89">
        <f t="shared" si="29"/>
        <v>950.45214245930333</v>
      </c>
      <c r="Q143" s="89">
        <f t="shared" si="29"/>
        <v>43.332688583547842</v>
      </c>
      <c r="R143" s="89">
        <f t="shared" si="29"/>
        <v>-0.17485840536622305</v>
      </c>
      <c r="S143" s="89">
        <f t="shared" si="29"/>
        <v>0</v>
      </c>
      <c r="T143" s="89">
        <f t="shared" si="29"/>
        <v>-6.8391850896542028</v>
      </c>
      <c r="U143" s="89">
        <f t="shared" si="29"/>
        <v>0</v>
      </c>
      <c r="V143" s="89">
        <f t="shared" si="29"/>
        <v>-0.84450138693281662</v>
      </c>
      <c r="W143" s="89">
        <f t="shared" si="29"/>
        <v>0</v>
      </c>
      <c r="X143" s="89">
        <f t="shared" si="29"/>
        <v>-277.15505716784253</v>
      </c>
      <c r="Y143" s="89">
        <f t="shared" si="29"/>
        <v>0</v>
      </c>
      <c r="AQ143" s="3"/>
    </row>
    <row r="144" spans="3:43" x14ac:dyDescent="0.25">
      <c r="C144" s="32"/>
      <c r="F144" t="s">
        <v>193</v>
      </c>
      <c r="G144" t="s">
        <v>172</v>
      </c>
      <c r="J144" s="89">
        <f t="shared" ref="J144:Y144" si="30">J84 + J107 + J130</f>
        <v>1998.8382429179665</v>
      </c>
      <c r="K144" s="89">
        <f t="shared" si="30"/>
        <v>2.1526620017062776</v>
      </c>
      <c r="L144" s="89">
        <f t="shared" si="30"/>
        <v>617.73926747370615</v>
      </c>
      <c r="M144" s="89">
        <f t="shared" si="30"/>
        <v>0.10763560274869141</v>
      </c>
      <c r="N144" s="89">
        <f t="shared" si="30"/>
        <v>558.35404371903098</v>
      </c>
      <c r="O144" s="89">
        <f t="shared" si="30"/>
        <v>40.080572084597833</v>
      </c>
      <c r="P144" s="89">
        <f t="shared" si="30"/>
        <v>876.50443778163924</v>
      </c>
      <c r="Q144" s="89">
        <f t="shared" si="30"/>
        <v>39.961290156296045</v>
      </c>
      <c r="R144" s="89">
        <f t="shared" si="30"/>
        <v>-0.16125395634370698</v>
      </c>
      <c r="S144" s="89">
        <f t="shared" si="30"/>
        <v>0</v>
      </c>
      <c r="T144" s="89">
        <f t="shared" si="30"/>
        <v>-6.3070782989461289</v>
      </c>
      <c r="U144" s="89">
        <f t="shared" si="30"/>
        <v>0</v>
      </c>
      <c r="V144" s="89">
        <f t="shared" si="30"/>
        <v>-0.77879693284089524</v>
      </c>
      <c r="W144" s="89">
        <f t="shared" si="30"/>
        <v>0</v>
      </c>
      <c r="X144" s="89">
        <f t="shared" si="30"/>
        <v>-255.59165654849326</v>
      </c>
      <c r="Y144" s="89">
        <f t="shared" si="30"/>
        <v>0</v>
      </c>
      <c r="AQ144" s="3"/>
    </row>
    <row r="145" spans="3:43" x14ac:dyDescent="0.25">
      <c r="C145" s="32"/>
      <c r="F145" t="s">
        <v>194</v>
      </c>
      <c r="G145" t="s">
        <v>172</v>
      </c>
      <c r="J145" s="89">
        <f t="shared" ref="J145:Y145" si="31">J85 + J108 + J131</f>
        <v>1939.9382555428042</v>
      </c>
      <c r="K145" s="89">
        <f t="shared" si="31"/>
        <v>2.3068521761478005</v>
      </c>
      <c r="L145" s="89">
        <f t="shared" si="31"/>
        <v>618.47621850372889</v>
      </c>
      <c r="M145" s="89">
        <f t="shared" si="31"/>
        <v>0.13429537395405633</v>
      </c>
      <c r="N145" s="89">
        <f t="shared" si="31"/>
        <v>560.46919908484563</v>
      </c>
      <c r="O145" s="89">
        <f t="shared" si="31"/>
        <v>39.672427671644748</v>
      </c>
      <c r="P145" s="89">
        <f t="shared" si="31"/>
        <v>873.3478566564429</v>
      </c>
      <c r="Q145" s="89">
        <f t="shared" si="31"/>
        <v>36.973422998356682</v>
      </c>
      <c r="R145" s="89">
        <f t="shared" si="31"/>
        <v>-0.16600808217361912</v>
      </c>
      <c r="S145" s="89">
        <f t="shared" si="31"/>
        <v>0</v>
      </c>
      <c r="T145" s="89">
        <f t="shared" si="31"/>
        <v>-6.455235095082589</v>
      </c>
      <c r="U145" s="89">
        <f t="shared" si="31"/>
        <v>0</v>
      </c>
      <c r="V145" s="89">
        <f t="shared" si="31"/>
        <v>-0.78181438848654716</v>
      </c>
      <c r="W145" s="89">
        <f t="shared" si="31"/>
        <v>0</v>
      </c>
      <c r="X145" s="89">
        <f t="shared" si="31"/>
        <v>-241.62767568251328</v>
      </c>
      <c r="Y145" s="89">
        <f t="shared" si="31"/>
        <v>0</v>
      </c>
      <c r="AQ145" s="3"/>
    </row>
    <row r="146" spans="3:43" x14ac:dyDescent="0.25">
      <c r="C146" s="32"/>
      <c r="F146" t="s">
        <v>195</v>
      </c>
      <c r="G146" t="s">
        <v>172</v>
      </c>
      <c r="J146" s="89">
        <f t="shared" ref="J146:Y146" si="32">J86 + J109 + J132</f>
        <v>1928.5268540396114</v>
      </c>
      <c r="K146" s="89">
        <f t="shared" si="32"/>
        <v>2.2932824574645774</v>
      </c>
      <c r="L146" s="89">
        <f t="shared" si="32"/>
        <v>614.83812310076576</v>
      </c>
      <c r="M146" s="89">
        <f t="shared" si="32"/>
        <v>0.1335054011660913</v>
      </c>
      <c r="N146" s="89">
        <f t="shared" si="32"/>
        <v>557.17232144317006</v>
      </c>
      <c r="O146" s="89">
        <f t="shared" si="32"/>
        <v>39.439060450046838</v>
      </c>
      <c r="P146" s="89">
        <f t="shared" si="32"/>
        <v>868.21051632316971</v>
      </c>
      <c r="Q146" s="89">
        <f t="shared" si="32"/>
        <v>36.755932274836937</v>
      </c>
      <c r="R146" s="89">
        <f t="shared" si="32"/>
        <v>-0.16503156404318606</v>
      </c>
      <c r="S146" s="89">
        <f t="shared" si="32"/>
        <v>0</v>
      </c>
      <c r="T146" s="89">
        <f t="shared" si="32"/>
        <v>-6.4172631239350437</v>
      </c>
      <c r="U146" s="89">
        <f t="shared" si="32"/>
        <v>0</v>
      </c>
      <c r="V146" s="89">
        <f t="shared" si="32"/>
        <v>-0.77721548031897925</v>
      </c>
      <c r="W146" s="89">
        <f t="shared" si="32"/>
        <v>0</v>
      </c>
      <c r="X146" s="89">
        <f t="shared" si="32"/>
        <v>-240.20633641379263</v>
      </c>
      <c r="Y146" s="89">
        <f t="shared" si="32"/>
        <v>0</v>
      </c>
      <c r="AQ146" s="3"/>
    </row>
    <row r="147" spans="3:43" x14ac:dyDescent="0.25">
      <c r="C147" s="32"/>
      <c r="F147" t="s">
        <v>196</v>
      </c>
      <c r="G147" t="s">
        <v>172</v>
      </c>
      <c r="H147" s="63"/>
      <c r="J147" s="89">
        <f t="shared" ref="J147:Y147" si="33">J87 + J110 + J133</f>
        <v>159.94567611258648</v>
      </c>
      <c r="K147" s="89">
        <f t="shared" si="33"/>
        <v>0.17225454862327999</v>
      </c>
      <c r="L147" s="89">
        <f t="shared" si="33"/>
        <v>49.431075849908503</v>
      </c>
      <c r="M147" s="89">
        <f t="shared" si="33"/>
        <v>8.612927692584562E-3</v>
      </c>
      <c r="N147" s="89">
        <f t="shared" si="33"/>
        <v>44.679110653028602</v>
      </c>
      <c r="O147" s="89">
        <f t="shared" si="33"/>
        <v>3.2072201058609418</v>
      </c>
      <c r="P147" s="89">
        <f t="shared" si="33"/>
        <v>70.13728870426678</v>
      </c>
      <c r="Q147" s="89">
        <f t="shared" si="33"/>
        <v>3.1976752471222034</v>
      </c>
      <c r="R147" s="89">
        <f t="shared" si="33"/>
        <v>-1.2903431863286718E-2</v>
      </c>
      <c r="S147" s="89">
        <f t="shared" si="33"/>
        <v>0</v>
      </c>
      <c r="T147" s="89">
        <f t="shared" si="33"/>
        <v>-0.50468811390525403</v>
      </c>
      <c r="U147" s="89">
        <f t="shared" si="33"/>
        <v>0</v>
      </c>
      <c r="V147" s="89">
        <f t="shared" si="33"/>
        <v>-6.2318800642818112E-2</v>
      </c>
      <c r="W147" s="89">
        <f t="shared" si="33"/>
        <v>0</v>
      </c>
      <c r="X147" s="89">
        <f t="shared" si="33"/>
        <v>-20.452270442707622</v>
      </c>
      <c r="Y147" s="89">
        <f t="shared" si="33"/>
        <v>0</v>
      </c>
      <c r="AQ147" s="3"/>
    </row>
    <row r="148" spans="3:43" x14ac:dyDescent="0.25">
      <c r="C148" s="32"/>
      <c r="F148" t="s">
        <v>197</v>
      </c>
      <c r="G148" t="s">
        <v>172</v>
      </c>
      <c r="J148" s="89">
        <f t="shared" ref="J148:Y148" si="34">J88 + J111 + J134</f>
        <v>2052.7931696611308</v>
      </c>
      <c r="K148" s="89">
        <f t="shared" si="34"/>
        <v>2.4410521196145525</v>
      </c>
      <c r="L148" s="89">
        <f t="shared" si="34"/>
        <v>654.45575564829414</v>
      </c>
      <c r="M148" s="89">
        <f t="shared" si="34"/>
        <v>0.14210793852964015</v>
      </c>
      <c r="N148" s="89">
        <f>N88 + N111 + N134</f>
        <v>593.07420759373224</v>
      </c>
      <c r="O148" s="89">
        <f t="shared" si="34"/>
        <v>41.980350825877423</v>
      </c>
      <c r="P148" s="89">
        <f t="shared" si="34"/>
        <v>924.1544207709328</v>
      </c>
      <c r="Q148" s="89">
        <f t="shared" si="34"/>
        <v>39.124332938514847</v>
      </c>
      <c r="R148" s="89">
        <f t="shared" si="34"/>
        <v>-0.17566551730235203</v>
      </c>
      <c r="S148" s="89">
        <f t="shared" si="34"/>
        <v>0</v>
      </c>
      <c r="T148" s="89">
        <f t="shared" si="34"/>
        <v>-6.8307650894974428</v>
      </c>
      <c r="U148" s="89">
        <f t="shared" si="34"/>
        <v>0</v>
      </c>
      <c r="V148" s="89">
        <f t="shared" si="34"/>
        <v>-0.82729603998603451</v>
      </c>
      <c r="W148" s="89">
        <f t="shared" si="34"/>
        <v>0</v>
      </c>
      <c r="X148" s="89">
        <f t="shared" si="34"/>
        <v>0</v>
      </c>
      <c r="Y148" s="89">
        <f t="shared" si="34"/>
        <v>0</v>
      </c>
      <c r="AQ148" s="3"/>
    </row>
    <row r="149" spans="3:43" x14ac:dyDescent="0.25">
      <c r="C149" s="32"/>
      <c r="F149" t="s">
        <v>198</v>
      </c>
      <c r="G149" t="s">
        <v>172</v>
      </c>
      <c r="J149" s="89">
        <f t="shared" ref="J149:Y149" si="35">J89 + J112 + J135</f>
        <v>2031.2260972005076</v>
      </c>
      <c r="K149" s="89">
        <f t="shared" si="35"/>
        <v>2.4154059177847911</v>
      </c>
      <c r="L149" s="89">
        <f t="shared" si="35"/>
        <v>647.57990721263877</v>
      </c>
      <c r="M149" s="89">
        <f t="shared" si="35"/>
        <v>0.14061492293859329</v>
      </c>
      <c r="N149" s="89">
        <f t="shared" si="35"/>
        <v>586.84324648243228</v>
      </c>
      <c r="O149" s="89">
        <f t="shared" si="35"/>
        <v>41.53929651920631</v>
      </c>
      <c r="P149" s="89">
        <f t="shared" si="35"/>
        <v>0</v>
      </c>
      <c r="Q149" s="89">
        <f t="shared" si="35"/>
        <v>38.713284550431119</v>
      </c>
      <c r="R149" s="89">
        <f t="shared" si="35"/>
        <v>-0.17381993880156321</v>
      </c>
      <c r="S149" s="89">
        <f t="shared" si="35"/>
        <v>0</v>
      </c>
      <c r="T149" s="89">
        <f t="shared" si="35"/>
        <v>-6.7589996492066398</v>
      </c>
      <c r="U149" s="89">
        <f t="shared" si="35"/>
        <v>0</v>
      </c>
      <c r="V149" s="89">
        <f t="shared" si="35"/>
        <v>0</v>
      </c>
      <c r="W149" s="89">
        <f t="shared" si="35"/>
        <v>0</v>
      </c>
      <c r="X149" s="89">
        <f t="shared" si="35"/>
        <v>0</v>
      </c>
      <c r="Y149" s="89">
        <f t="shared" si="35"/>
        <v>0</v>
      </c>
      <c r="AQ149" s="3"/>
    </row>
    <row r="150" spans="3:43" x14ac:dyDescent="0.25">
      <c r="C150" s="32"/>
      <c r="F150" s="37" t="s">
        <v>199</v>
      </c>
      <c r="G150" s="37" t="s">
        <v>172</v>
      </c>
      <c r="H150" s="37"/>
      <c r="I150" s="37"/>
      <c r="J150" s="82">
        <f t="shared" ref="J150:Y150" si="36">J90 + J113 + J136</f>
        <v>1972.8142149990083</v>
      </c>
      <c r="K150" s="82">
        <f t="shared" si="36"/>
        <v>2.345946192876323</v>
      </c>
      <c r="L150" s="82">
        <f t="shared" si="36"/>
        <v>628.95747945420464</v>
      </c>
      <c r="M150" s="82">
        <f t="shared" si="36"/>
        <v>0.13657126559991389</v>
      </c>
      <c r="N150" s="82">
        <f t="shared" si="36"/>
        <v>569.96742028488552</v>
      </c>
      <c r="O150" s="82">
        <f t="shared" si="36"/>
        <v>0</v>
      </c>
      <c r="P150" s="82">
        <f t="shared" si="36"/>
        <v>0</v>
      </c>
      <c r="Q150" s="82">
        <f t="shared" si="36"/>
        <v>37.600008278572702</v>
      </c>
      <c r="R150" s="82">
        <f t="shared" si="36"/>
        <v>0</v>
      </c>
      <c r="S150" s="82">
        <f t="shared" si="36"/>
        <v>0</v>
      </c>
      <c r="T150" s="82">
        <f t="shared" si="36"/>
        <v>0</v>
      </c>
      <c r="U150" s="82">
        <f t="shared" si="36"/>
        <v>0</v>
      </c>
      <c r="V150" s="82">
        <f t="shared" si="36"/>
        <v>0</v>
      </c>
      <c r="W150" s="82">
        <f t="shared" si="36"/>
        <v>0</v>
      </c>
      <c r="X150" s="82">
        <f t="shared" si="36"/>
        <v>0</v>
      </c>
      <c r="Y150" s="82">
        <f t="shared" si="36"/>
        <v>0</v>
      </c>
      <c r="AQ150" s="3"/>
    </row>
    <row r="151" spans="3:43" x14ac:dyDescent="0.25">
      <c r="C151" s="32"/>
      <c r="J151" s="63"/>
      <c r="K151" s="63"/>
      <c r="L151" s="63"/>
      <c r="M151" s="63"/>
      <c r="N151" s="63"/>
      <c r="O151" s="63"/>
      <c r="P151" s="63"/>
      <c r="Q151" s="63"/>
      <c r="R151" s="63"/>
      <c r="S151" s="63"/>
      <c r="T151" s="63"/>
      <c r="U151" s="63"/>
      <c r="V151" s="63"/>
      <c r="W151" s="63"/>
      <c r="X151" s="63"/>
      <c r="Y151" s="63"/>
      <c r="AQ151" s="3"/>
    </row>
    <row r="152" spans="3:43" x14ac:dyDescent="0.25">
      <c r="E152" s="32" t="s">
        <v>518</v>
      </c>
      <c r="J152" s="63"/>
      <c r="K152" s="63"/>
      <c r="L152" s="63"/>
      <c r="M152" s="63"/>
      <c r="N152" s="63"/>
      <c r="O152" s="63"/>
      <c r="P152" s="63"/>
      <c r="Q152" s="63"/>
      <c r="R152" s="63"/>
      <c r="S152" s="63"/>
      <c r="T152" s="63"/>
      <c r="U152" s="63"/>
      <c r="V152" s="63"/>
      <c r="W152" s="63"/>
      <c r="X152" s="63"/>
      <c r="Y152" s="63"/>
      <c r="AQ152" s="3"/>
    </row>
    <row r="153" spans="3:43" x14ac:dyDescent="0.25">
      <c r="E153" s="29" t="s">
        <v>519</v>
      </c>
      <c r="J153" s="63"/>
      <c r="K153" s="63"/>
      <c r="L153" s="63"/>
      <c r="M153" s="63"/>
      <c r="N153" s="63"/>
      <c r="O153" s="63"/>
      <c r="P153" s="63"/>
      <c r="Q153" s="63"/>
      <c r="R153" s="63"/>
      <c r="S153" s="63"/>
      <c r="T153" s="63"/>
      <c r="U153" s="63"/>
      <c r="V153" s="63"/>
      <c r="W153" s="63"/>
      <c r="X153" s="63"/>
      <c r="Y153" s="63"/>
      <c r="AQ153" s="3"/>
    </row>
    <row r="154" spans="3:43" x14ac:dyDescent="0.25">
      <c r="C154" s="32"/>
      <c r="F154" s="23" t="s">
        <v>191</v>
      </c>
      <c r="G154" s="23" t="s">
        <v>520</v>
      </c>
      <c r="H154" s="101">
        <f t="shared" ref="H154:H162" si="37">SUM(J142:Y142) * thousand</f>
        <v>4224472.119039217</v>
      </c>
      <c r="J154" s="63"/>
      <c r="K154" s="63"/>
      <c r="L154" s="63"/>
      <c r="M154" s="63"/>
      <c r="N154" s="63"/>
      <c r="O154" s="63"/>
      <c r="P154" s="63"/>
      <c r="Q154" s="63"/>
      <c r="R154" s="63"/>
      <c r="S154" s="63"/>
      <c r="T154" s="63"/>
      <c r="U154" s="63"/>
      <c r="V154" s="63"/>
      <c r="W154" s="63"/>
      <c r="X154" s="63"/>
      <c r="Y154" s="63"/>
      <c r="AQ154" s="3"/>
    </row>
    <row r="155" spans="3:43" x14ac:dyDescent="0.25">
      <c r="C155" s="32"/>
      <c r="F155" t="s">
        <v>192</v>
      </c>
      <c r="G155" t="s">
        <v>520</v>
      </c>
      <c r="H155" s="121">
        <f t="shared" si="37"/>
        <v>4197474.0081996443</v>
      </c>
      <c r="J155" s="63"/>
      <c r="K155" s="63"/>
      <c r="L155" s="63"/>
      <c r="M155" s="63"/>
      <c r="N155" s="63"/>
      <c r="O155" s="63"/>
      <c r="P155" s="63"/>
      <c r="Q155" s="63"/>
      <c r="R155" s="63"/>
      <c r="S155" s="63"/>
      <c r="T155" s="63"/>
      <c r="U155" s="63"/>
      <c r="V155" s="63"/>
      <c r="W155" s="63"/>
      <c r="X155" s="63"/>
      <c r="Y155" s="63"/>
      <c r="AQ155" s="3"/>
    </row>
    <row r="156" spans="3:43" x14ac:dyDescent="0.25">
      <c r="C156" s="32"/>
      <c r="F156" t="s">
        <v>193</v>
      </c>
      <c r="G156" t="s">
        <v>520</v>
      </c>
      <c r="H156" s="121">
        <f t="shared" si="37"/>
        <v>3870899.3660010672</v>
      </c>
      <c r="J156" s="63"/>
      <c r="K156" s="63"/>
      <c r="L156" s="63"/>
      <c r="M156" s="63"/>
      <c r="N156" s="63"/>
      <c r="O156" s="63"/>
      <c r="P156" s="63"/>
      <c r="Q156" s="63"/>
      <c r="R156" s="63"/>
      <c r="S156" s="63"/>
      <c r="T156" s="63"/>
      <c r="U156" s="63"/>
      <c r="V156" s="63"/>
      <c r="W156" s="63"/>
      <c r="X156" s="63"/>
      <c r="Y156" s="63"/>
      <c r="AQ156" s="3"/>
    </row>
    <row r="157" spans="3:43" x14ac:dyDescent="0.25">
      <c r="C157" s="32"/>
      <c r="F157" t="s">
        <v>194</v>
      </c>
      <c r="G157" t="s">
        <v>520</v>
      </c>
      <c r="H157" s="121">
        <f t="shared" si="37"/>
        <v>3822287.7947596693</v>
      </c>
      <c r="J157" s="63"/>
      <c r="K157" s="63"/>
      <c r="L157" s="63"/>
      <c r="M157" s="63"/>
      <c r="N157" s="63"/>
      <c r="O157" s="63"/>
      <c r="P157" s="63"/>
      <c r="Q157" s="63"/>
      <c r="R157" s="63"/>
      <c r="S157" s="63"/>
      <c r="T157" s="63"/>
      <c r="U157" s="63"/>
      <c r="V157" s="63"/>
      <c r="W157" s="63"/>
      <c r="X157" s="63"/>
      <c r="Y157" s="63"/>
      <c r="AQ157" s="3"/>
    </row>
    <row r="158" spans="3:43" x14ac:dyDescent="0.25">
      <c r="C158" s="32"/>
      <c r="F158" t="s">
        <v>195</v>
      </c>
      <c r="G158" t="s">
        <v>520</v>
      </c>
      <c r="H158" s="121">
        <f t="shared" si="37"/>
        <v>3799803.7489081416</v>
      </c>
      <c r="J158" s="63"/>
      <c r="K158" s="63"/>
      <c r="L158" s="63"/>
      <c r="M158" s="63"/>
      <c r="N158" s="63"/>
      <c r="O158" s="63"/>
      <c r="P158" s="63"/>
      <c r="Q158" s="63"/>
      <c r="R158" s="63"/>
      <c r="S158" s="63"/>
      <c r="T158" s="63"/>
      <c r="U158" s="63"/>
      <c r="V158" s="63"/>
      <c r="W158" s="63"/>
      <c r="X158" s="63"/>
      <c r="Y158" s="63"/>
      <c r="AQ158" s="3"/>
    </row>
    <row r="159" spans="3:43" x14ac:dyDescent="0.25">
      <c r="C159" s="32"/>
      <c r="F159" t="s">
        <v>196</v>
      </c>
      <c r="G159" t="s">
        <v>520</v>
      </c>
      <c r="H159" s="121">
        <f t="shared" si="37"/>
        <v>309746.73335997039</v>
      </c>
      <c r="J159" s="63"/>
      <c r="K159" s="63"/>
      <c r="L159" s="63"/>
      <c r="M159" s="63"/>
      <c r="N159" s="63"/>
      <c r="O159" s="63"/>
      <c r="P159" s="63"/>
      <c r="Q159" s="63"/>
      <c r="R159" s="63"/>
      <c r="S159" s="63"/>
      <c r="T159" s="63"/>
      <c r="U159" s="63"/>
      <c r="V159" s="63"/>
      <c r="W159" s="63"/>
      <c r="X159" s="63"/>
      <c r="Y159" s="63"/>
      <c r="AQ159" s="3"/>
    </row>
    <row r="160" spans="3:43" x14ac:dyDescent="0.25">
      <c r="C160" s="32"/>
      <c r="F160" t="s">
        <v>197</v>
      </c>
      <c r="G160" t="s">
        <v>520</v>
      </c>
      <c r="H160" s="121">
        <f t="shared" si="37"/>
        <v>4300331.6708498402</v>
      </c>
      <c r="J160" s="63"/>
      <c r="K160" s="63"/>
      <c r="L160" s="63"/>
      <c r="M160" s="63"/>
      <c r="N160" s="63"/>
      <c r="O160" s="63"/>
      <c r="P160" s="63"/>
      <c r="Q160" s="63"/>
      <c r="R160" s="63"/>
      <c r="S160" s="63"/>
      <c r="T160" s="63"/>
      <c r="U160" s="63"/>
      <c r="V160" s="63"/>
      <c r="W160" s="63"/>
      <c r="X160" s="63"/>
      <c r="Y160" s="63"/>
      <c r="AQ160" s="3"/>
    </row>
    <row r="161" spans="3:43" x14ac:dyDescent="0.25">
      <c r="C161" s="32"/>
      <c r="F161" t="s">
        <v>198</v>
      </c>
      <c r="G161" t="s">
        <v>520</v>
      </c>
      <c r="H161" s="121">
        <f t="shared" si="37"/>
        <v>3341525.0332179316</v>
      </c>
      <c r="J161" s="63"/>
      <c r="K161" s="63"/>
      <c r="L161" s="63"/>
      <c r="M161" s="63"/>
      <c r="N161" s="63"/>
      <c r="O161" s="63"/>
      <c r="P161" s="63"/>
      <c r="Q161" s="63"/>
      <c r="R161" s="63"/>
      <c r="S161" s="63"/>
      <c r="T161" s="63"/>
      <c r="U161" s="63"/>
      <c r="V161" s="63"/>
      <c r="W161" s="63"/>
      <c r="X161" s="63"/>
      <c r="Y161" s="63"/>
      <c r="AQ161" s="3"/>
    </row>
    <row r="162" spans="3:43" x14ac:dyDescent="0.25">
      <c r="C162" s="32"/>
      <c r="F162" s="37" t="s">
        <v>199</v>
      </c>
      <c r="G162" s="37" t="s">
        <v>520</v>
      </c>
      <c r="H162" s="131">
        <f t="shared" si="37"/>
        <v>3211821.6404751469</v>
      </c>
      <c r="J162" s="63"/>
      <c r="K162" s="63"/>
      <c r="L162" s="63"/>
      <c r="M162" s="63"/>
      <c r="N162" s="63"/>
      <c r="O162" s="63"/>
      <c r="P162" s="63"/>
      <c r="Q162" s="63"/>
      <c r="R162" s="63"/>
      <c r="S162" s="63"/>
      <c r="T162" s="63"/>
      <c r="U162" s="63"/>
      <c r="V162" s="63"/>
      <c r="W162" s="63"/>
      <c r="X162" s="63"/>
      <c r="Y162" s="63"/>
      <c r="AQ162" s="3"/>
    </row>
    <row r="163" spans="3:43" x14ac:dyDescent="0.25">
      <c r="C163" s="32"/>
      <c r="J163" s="63"/>
      <c r="K163" s="63"/>
      <c r="L163" s="63"/>
      <c r="M163" s="63"/>
      <c r="N163" s="63"/>
      <c r="O163" s="63"/>
      <c r="P163" s="63"/>
      <c r="Q163" s="63"/>
      <c r="R163" s="63"/>
      <c r="S163" s="63"/>
      <c r="T163" s="63"/>
      <c r="U163" s="63"/>
      <c r="V163" s="63"/>
      <c r="W163" s="63"/>
      <c r="X163" s="63"/>
      <c r="Y163" s="63"/>
      <c r="AQ163" s="3"/>
    </row>
    <row r="164" spans="3:43" x14ac:dyDescent="0.25">
      <c r="C164" s="31" t="str">
        <f ca="1">INDEX('Version control'!$H$34:$H$57,MATCH($A$1,'Version control'!$F$34:$F$57,0),1)&amp;"-D: Unit rate contributions to chargeable peak load"</f>
        <v>Section 106-D: Unit rate contributions to chargeable peak load</v>
      </c>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Q164" s="3"/>
    </row>
    <row r="165" spans="3:43" x14ac:dyDescent="0.25">
      <c r="H165" s="63"/>
      <c r="J165" s="63"/>
      <c r="K165" s="63"/>
      <c r="L165" s="63"/>
      <c r="M165" s="63"/>
      <c r="N165" s="63"/>
      <c r="O165" s="63"/>
      <c r="P165" s="63"/>
      <c r="Q165" s="63"/>
      <c r="R165" s="63"/>
      <c r="S165" s="63"/>
      <c r="T165" s="63"/>
      <c r="U165" s="63"/>
      <c r="V165" s="63"/>
      <c r="W165" s="63"/>
      <c r="X165" s="63"/>
      <c r="Y165" s="63"/>
    </row>
    <row r="166" spans="3:43" x14ac:dyDescent="0.25">
      <c r="E166" s="32" t="s">
        <v>521</v>
      </c>
      <c r="H166" s="63"/>
      <c r="J166" s="63"/>
      <c r="K166" s="63"/>
      <c r="L166" s="63"/>
      <c r="M166" s="63"/>
      <c r="N166" s="63"/>
      <c r="O166" s="63"/>
      <c r="P166" s="63"/>
      <c r="Q166" s="63"/>
      <c r="R166" s="63"/>
      <c r="S166" s="63"/>
      <c r="T166" s="63"/>
      <c r="U166" s="63"/>
      <c r="V166" s="63"/>
      <c r="W166" s="63"/>
      <c r="X166" s="63"/>
      <c r="Y166" s="63"/>
    </row>
    <row r="167" spans="3:43" x14ac:dyDescent="0.25">
      <c r="E167" s="29" t="s">
        <v>522</v>
      </c>
      <c r="F167" s="29"/>
      <c r="J167" s="63"/>
      <c r="K167" s="63"/>
      <c r="L167" s="63"/>
      <c r="M167" s="63"/>
      <c r="N167" s="63"/>
      <c r="O167" s="63"/>
      <c r="P167" s="63"/>
      <c r="Q167" s="63"/>
      <c r="R167" s="63"/>
      <c r="S167" s="63"/>
      <c r="T167" s="63"/>
      <c r="U167" s="63"/>
      <c r="V167" s="63"/>
      <c r="W167" s="63"/>
      <c r="X167" s="63"/>
      <c r="Y167" s="63"/>
      <c r="AQ167" s="3"/>
    </row>
    <row r="168" spans="3:43" x14ac:dyDescent="0.25">
      <c r="C168" s="32"/>
      <c r="F168" s="23" t="s">
        <v>191</v>
      </c>
      <c r="G168" s="23" t="s">
        <v>172</v>
      </c>
      <c r="H168" s="129"/>
      <c r="I168" s="23"/>
      <c r="J168" s="158">
        <f t="shared" ref="J168:Y168" si="38">J142 * (1 - J23)</f>
        <v>2222.2180989973731</v>
      </c>
      <c r="K168" s="158">
        <f t="shared" si="38"/>
        <v>2.1462319218645596</v>
      </c>
      <c r="L168" s="158">
        <f t="shared" si="38"/>
        <v>664.51517969944632</v>
      </c>
      <c r="M168" s="158">
        <f t="shared" si="38"/>
        <v>8.6603779101051492E-2</v>
      </c>
      <c r="N168" s="158">
        <f t="shared" si="38"/>
        <v>598.9701258511152</v>
      </c>
      <c r="O168" s="158">
        <f t="shared" si="38"/>
        <v>43.643002236218337</v>
      </c>
      <c r="P168" s="158">
        <f t="shared" si="38"/>
        <v>948.25736910054172</v>
      </c>
      <c r="Q168" s="158">
        <f t="shared" si="38"/>
        <v>43.586513359212276</v>
      </c>
      <c r="R168" s="158">
        <f t="shared" si="38"/>
        <v>-0.16802711099503781</v>
      </c>
      <c r="S168" s="158">
        <f t="shared" si="38"/>
        <v>0</v>
      </c>
      <c r="T168" s="158">
        <f t="shared" si="38"/>
        <v>-6.6228943047013891</v>
      </c>
      <c r="U168" s="158">
        <f t="shared" si="38"/>
        <v>0</v>
      </c>
      <c r="V168" s="158">
        <f t="shared" si="38"/>
        <v>-0.83635507087135519</v>
      </c>
      <c r="W168" s="158">
        <f t="shared" si="38"/>
        <v>0</v>
      </c>
      <c r="X168" s="158">
        <f t="shared" si="38"/>
        <v>-291.32372941908773</v>
      </c>
      <c r="Y168" s="158">
        <f t="shared" si="38"/>
        <v>0</v>
      </c>
      <c r="AQ168" s="3"/>
    </row>
    <row r="169" spans="3:43" x14ac:dyDescent="0.25">
      <c r="C169" s="32"/>
      <c r="F169" t="s">
        <v>192</v>
      </c>
      <c r="G169" t="s">
        <v>172</v>
      </c>
      <c r="H169" s="63"/>
      <c r="J169" s="89">
        <f t="shared" ref="J169:Y169" si="39">J143 * (1 - J24)</f>
        <v>2167.4734416852571</v>
      </c>
      <c r="K169" s="89">
        <f t="shared" si="39"/>
        <v>2.3342747889454247</v>
      </c>
      <c r="L169" s="89">
        <f t="shared" si="39"/>
        <v>669.85583294661512</v>
      </c>
      <c r="M169" s="89">
        <f t="shared" si="39"/>
        <v>0.11671645325186422</v>
      </c>
      <c r="N169" s="89">
        <f t="shared" si="39"/>
        <v>605.46047940920676</v>
      </c>
      <c r="O169" s="89">
        <f t="shared" si="39"/>
        <v>43.462033923313648</v>
      </c>
      <c r="P169" s="89">
        <f t="shared" si="39"/>
        <v>936.18693119741852</v>
      </c>
      <c r="Q169" s="89">
        <f t="shared" si="39"/>
        <v>43.332688583547842</v>
      </c>
      <c r="R169" s="89">
        <f t="shared" si="39"/>
        <v>-0.17485840536622305</v>
      </c>
      <c r="S169" s="89">
        <f t="shared" si="39"/>
        <v>0</v>
      </c>
      <c r="T169" s="89">
        <f t="shared" si="39"/>
        <v>-6.8391850896542028</v>
      </c>
      <c r="U169" s="89">
        <f t="shared" si="39"/>
        <v>0</v>
      </c>
      <c r="V169" s="89">
        <f t="shared" si="39"/>
        <v>-0.84450138693281662</v>
      </c>
      <c r="W169" s="89">
        <f t="shared" si="39"/>
        <v>0</v>
      </c>
      <c r="X169" s="89">
        <f t="shared" si="39"/>
        <v>-277.15505716784253</v>
      </c>
      <c r="Y169" s="89">
        <f t="shared" si="39"/>
        <v>0</v>
      </c>
      <c r="AQ169" s="3"/>
    </row>
    <row r="170" spans="3:43" x14ac:dyDescent="0.25">
      <c r="C170" s="32"/>
      <c r="F170" t="s">
        <v>193</v>
      </c>
      <c r="G170" t="s">
        <v>172</v>
      </c>
      <c r="H170" s="63"/>
      <c r="J170" s="89">
        <f t="shared" ref="J170:Y170" si="40">J144 * (1 - J25)</f>
        <v>1998.8382429179665</v>
      </c>
      <c r="K170" s="89">
        <f t="shared" si="40"/>
        <v>2.1526620017062776</v>
      </c>
      <c r="L170" s="89">
        <f t="shared" si="40"/>
        <v>617.73926747370615</v>
      </c>
      <c r="M170" s="89">
        <f t="shared" si="40"/>
        <v>0.10763560274869141</v>
      </c>
      <c r="N170" s="89">
        <f t="shared" si="40"/>
        <v>558.35404371903098</v>
      </c>
      <c r="O170" s="89">
        <f t="shared" si="40"/>
        <v>40.080572084597833</v>
      </c>
      <c r="P170" s="89">
        <f t="shared" si="40"/>
        <v>876.50443778163924</v>
      </c>
      <c r="Q170" s="89">
        <f t="shared" si="40"/>
        <v>39.961290156296045</v>
      </c>
      <c r="R170" s="89">
        <f t="shared" si="40"/>
        <v>-0.16125395634370698</v>
      </c>
      <c r="S170" s="89">
        <f t="shared" si="40"/>
        <v>0</v>
      </c>
      <c r="T170" s="89">
        <f t="shared" si="40"/>
        <v>-6.3070782989461289</v>
      </c>
      <c r="U170" s="89">
        <f t="shared" si="40"/>
        <v>0</v>
      </c>
      <c r="V170" s="89">
        <f t="shared" si="40"/>
        <v>-0.77879693284089524</v>
      </c>
      <c r="W170" s="89">
        <f t="shared" si="40"/>
        <v>0</v>
      </c>
      <c r="X170" s="89">
        <f t="shared" si="40"/>
        <v>-255.59165654849326</v>
      </c>
      <c r="Y170" s="89">
        <f t="shared" si="40"/>
        <v>0</v>
      </c>
      <c r="AQ170" s="3"/>
    </row>
    <row r="171" spans="3:43" x14ac:dyDescent="0.25">
      <c r="C171" s="32"/>
      <c r="F171" t="s">
        <v>194</v>
      </c>
      <c r="G171" t="s">
        <v>172</v>
      </c>
      <c r="H171" s="63"/>
      <c r="J171" s="89">
        <f t="shared" ref="J171:Y171" si="41">J145 * (1 - J26)</f>
        <v>1939.9382555428042</v>
      </c>
      <c r="K171" s="89">
        <f t="shared" si="41"/>
        <v>2.3068521761478005</v>
      </c>
      <c r="L171" s="89">
        <f t="shared" si="41"/>
        <v>618.47621850372889</v>
      </c>
      <c r="M171" s="89">
        <f t="shared" si="41"/>
        <v>0.13429537395405633</v>
      </c>
      <c r="N171" s="89">
        <f t="shared" si="41"/>
        <v>560.46919908484563</v>
      </c>
      <c r="O171" s="89">
        <f t="shared" si="41"/>
        <v>39.672427671644748</v>
      </c>
      <c r="P171" s="89">
        <f t="shared" si="41"/>
        <v>698.67828532515432</v>
      </c>
      <c r="Q171" s="89">
        <f t="shared" si="41"/>
        <v>36.973422998356682</v>
      </c>
      <c r="R171" s="89">
        <f t="shared" si="41"/>
        <v>-0.16600808217361912</v>
      </c>
      <c r="S171" s="89">
        <f t="shared" si="41"/>
        <v>0</v>
      </c>
      <c r="T171" s="89">
        <f t="shared" si="41"/>
        <v>-6.455235095082589</v>
      </c>
      <c r="U171" s="89">
        <f t="shared" si="41"/>
        <v>0</v>
      </c>
      <c r="V171" s="89">
        <f t="shared" si="41"/>
        <v>-0.78181438848654716</v>
      </c>
      <c r="W171" s="89">
        <f t="shared" si="41"/>
        <v>0</v>
      </c>
      <c r="X171" s="89">
        <f t="shared" si="41"/>
        <v>-241.62767568251328</v>
      </c>
      <c r="Y171" s="89">
        <f t="shared" si="41"/>
        <v>0</v>
      </c>
      <c r="AQ171" s="3"/>
    </row>
    <row r="172" spans="3:43" x14ac:dyDescent="0.25">
      <c r="C172" s="32"/>
      <c r="F172" t="s">
        <v>195</v>
      </c>
      <c r="G172" t="s">
        <v>172</v>
      </c>
      <c r="H172" s="63"/>
      <c r="J172" s="89">
        <f t="shared" ref="J172:Y172" si="42">J146 * (1 - J27)</f>
        <v>1928.5268540396114</v>
      </c>
      <c r="K172" s="89">
        <f t="shared" si="42"/>
        <v>2.2932824574645774</v>
      </c>
      <c r="L172" s="89">
        <f t="shared" si="42"/>
        <v>614.83812310076576</v>
      </c>
      <c r="M172" s="89">
        <f t="shared" si="42"/>
        <v>0.1335054011660913</v>
      </c>
      <c r="N172" s="89">
        <f t="shared" si="42"/>
        <v>557.17232144317006</v>
      </c>
      <c r="O172" s="89">
        <f t="shared" si="42"/>
        <v>39.439060450046838</v>
      </c>
      <c r="P172" s="89">
        <f t="shared" si="42"/>
        <v>0</v>
      </c>
      <c r="Q172" s="89">
        <f t="shared" si="42"/>
        <v>36.755932274836937</v>
      </c>
      <c r="R172" s="89">
        <f t="shared" si="42"/>
        <v>-0.16503156404318606</v>
      </c>
      <c r="S172" s="89">
        <f t="shared" si="42"/>
        <v>0</v>
      </c>
      <c r="T172" s="89">
        <f t="shared" si="42"/>
        <v>-6.4172631239350437</v>
      </c>
      <c r="U172" s="89">
        <f t="shared" si="42"/>
        <v>0</v>
      </c>
      <c r="V172" s="89">
        <f t="shared" si="42"/>
        <v>-0.77721548031897925</v>
      </c>
      <c r="W172" s="89">
        <f t="shared" si="42"/>
        <v>0</v>
      </c>
      <c r="X172" s="89">
        <f t="shared" si="42"/>
        <v>-240.20633641379263</v>
      </c>
      <c r="Y172" s="89">
        <f t="shared" si="42"/>
        <v>0</v>
      </c>
      <c r="AQ172" s="3"/>
    </row>
    <row r="173" spans="3:43" x14ac:dyDescent="0.25">
      <c r="C173" s="32"/>
      <c r="F173" t="s">
        <v>196</v>
      </c>
      <c r="G173" t="s">
        <v>172</v>
      </c>
      <c r="H173" s="63"/>
      <c r="J173" s="89">
        <f t="shared" ref="J173:Y173" si="43">J147 * (1 - J28)</f>
        <v>159.94567611258648</v>
      </c>
      <c r="K173" s="89">
        <f t="shared" si="43"/>
        <v>0.17225454862327999</v>
      </c>
      <c r="L173" s="89">
        <f t="shared" si="43"/>
        <v>49.431075849908503</v>
      </c>
      <c r="M173" s="89">
        <f t="shared" si="43"/>
        <v>8.612927692584562E-3</v>
      </c>
      <c r="N173" s="89">
        <f t="shared" si="43"/>
        <v>44.679110653028602</v>
      </c>
      <c r="O173" s="89">
        <f t="shared" si="43"/>
        <v>3.2072201058609418</v>
      </c>
      <c r="P173" s="89">
        <f t="shared" si="43"/>
        <v>0</v>
      </c>
      <c r="Q173" s="89">
        <f t="shared" si="43"/>
        <v>3.1976752471222034</v>
      </c>
      <c r="R173" s="89">
        <f t="shared" si="43"/>
        <v>-1.2903431863286718E-2</v>
      </c>
      <c r="S173" s="89">
        <f t="shared" si="43"/>
        <v>0</v>
      </c>
      <c r="T173" s="89">
        <f t="shared" si="43"/>
        <v>-0.50468811390525403</v>
      </c>
      <c r="U173" s="89">
        <f t="shared" si="43"/>
        <v>0</v>
      </c>
      <c r="V173" s="89">
        <f t="shared" si="43"/>
        <v>-6.2318800642818112E-2</v>
      </c>
      <c r="W173" s="89">
        <f t="shared" si="43"/>
        <v>0</v>
      </c>
      <c r="X173" s="89">
        <f t="shared" si="43"/>
        <v>-20.452270442707622</v>
      </c>
      <c r="Y173" s="89">
        <f t="shared" si="43"/>
        <v>0</v>
      </c>
      <c r="AQ173" s="3"/>
    </row>
    <row r="174" spans="3:43" x14ac:dyDescent="0.25">
      <c r="C174" s="32"/>
      <c r="F174" t="s">
        <v>197</v>
      </c>
      <c r="G174" t="s">
        <v>172</v>
      </c>
      <c r="H174" s="63"/>
      <c r="J174" s="89">
        <f t="shared" ref="J174:Y174" si="44">J148 * (1 - J29)</f>
        <v>2052.7931696611308</v>
      </c>
      <c r="K174" s="89">
        <f t="shared" si="44"/>
        <v>2.4410521196145525</v>
      </c>
      <c r="L174" s="89">
        <f t="shared" si="44"/>
        <v>654.45575564829414</v>
      </c>
      <c r="M174" s="89">
        <f t="shared" si="44"/>
        <v>0.14210793852964015</v>
      </c>
      <c r="N174" s="89">
        <f t="shared" si="44"/>
        <v>474.45936607498584</v>
      </c>
      <c r="O174" s="89">
        <f t="shared" si="44"/>
        <v>0</v>
      </c>
      <c r="P174" s="89">
        <f t="shared" si="44"/>
        <v>0</v>
      </c>
      <c r="Q174" s="89">
        <f t="shared" si="44"/>
        <v>39.124332938514847</v>
      </c>
      <c r="R174" s="89">
        <f t="shared" si="44"/>
        <v>-0.17566551730235203</v>
      </c>
      <c r="S174" s="89">
        <f t="shared" si="44"/>
        <v>0</v>
      </c>
      <c r="T174" s="89">
        <f t="shared" si="44"/>
        <v>-6.8307650894974428</v>
      </c>
      <c r="U174" s="89">
        <f t="shared" si="44"/>
        <v>0</v>
      </c>
      <c r="V174" s="89">
        <f t="shared" si="44"/>
        <v>-0.82729603998603451</v>
      </c>
      <c r="W174" s="89">
        <f t="shared" si="44"/>
        <v>0</v>
      </c>
      <c r="X174" s="89">
        <f t="shared" si="44"/>
        <v>0</v>
      </c>
      <c r="Y174" s="89">
        <f t="shared" si="44"/>
        <v>0</v>
      </c>
      <c r="AQ174" s="3"/>
    </row>
    <row r="175" spans="3:43" x14ac:dyDescent="0.25">
      <c r="C175" s="32"/>
      <c r="F175" t="s">
        <v>198</v>
      </c>
      <c r="G175" t="s">
        <v>172</v>
      </c>
      <c r="H175" s="63"/>
      <c r="J175" s="89">
        <f t="shared" ref="J175:Y175" si="45">J149 * (1 - J30)</f>
        <v>2031.2260972005076</v>
      </c>
      <c r="K175" s="89">
        <f t="shared" si="45"/>
        <v>2.4154059177847911</v>
      </c>
      <c r="L175" s="89">
        <f t="shared" si="45"/>
        <v>647.57990721263877</v>
      </c>
      <c r="M175" s="89">
        <f t="shared" si="45"/>
        <v>0.14061492293859329</v>
      </c>
      <c r="N175" s="89">
        <f t="shared" si="45"/>
        <v>0</v>
      </c>
      <c r="O175" s="89">
        <f t="shared" si="45"/>
        <v>0</v>
      </c>
      <c r="P175" s="89">
        <f t="shared" si="45"/>
        <v>0</v>
      </c>
      <c r="Q175" s="89">
        <f t="shared" si="45"/>
        <v>38.713284550431119</v>
      </c>
      <c r="R175" s="89">
        <f t="shared" si="45"/>
        <v>-0.17381993880156321</v>
      </c>
      <c r="S175" s="89">
        <f t="shared" si="45"/>
        <v>0</v>
      </c>
      <c r="T175" s="89">
        <f t="shared" si="45"/>
        <v>-6.7589996492066398</v>
      </c>
      <c r="U175" s="89">
        <f t="shared" si="45"/>
        <v>0</v>
      </c>
      <c r="V175" s="89">
        <f t="shared" si="45"/>
        <v>0</v>
      </c>
      <c r="W175" s="89">
        <f t="shared" si="45"/>
        <v>0</v>
      </c>
      <c r="X175" s="89">
        <f t="shared" si="45"/>
        <v>0</v>
      </c>
      <c r="Y175" s="89">
        <f t="shared" si="45"/>
        <v>0</v>
      </c>
      <c r="AQ175" s="3"/>
    </row>
    <row r="176" spans="3:43" x14ac:dyDescent="0.25">
      <c r="C176" s="32"/>
      <c r="F176" s="37" t="s">
        <v>199</v>
      </c>
      <c r="G176" s="37" t="s">
        <v>172</v>
      </c>
      <c r="H176" s="130"/>
      <c r="I176" s="37"/>
      <c r="J176" s="82">
        <f t="shared" ref="J176:Y176" si="46">J150 * (1 - J31)</f>
        <v>0</v>
      </c>
      <c r="K176" s="82">
        <f t="shared" si="46"/>
        <v>0</v>
      </c>
      <c r="L176" s="82">
        <f t="shared" si="46"/>
        <v>0</v>
      </c>
      <c r="M176" s="82">
        <f t="shared" si="46"/>
        <v>0</v>
      </c>
      <c r="N176" s="82">
        <f t="shared" si="46"/>
        <v>0</v>
      </c>
      <c r="O176" s="82">
        <f t="shared" si="46"/>
        <v>0</v>
      </c>
      <c r="P176" s="82">
        <f t="shared" si="46"/>
        <v>0</v>
      </c>
      <c r="Q176" s="82">
        <f t="shared" si="46"/>
        <v>37.600008278572702</v>
      </c>
      <c r="R176" s="82">
        <f t="shared" si="46"/>
        <v>0</v>
      </c>
      <c r="S176" s="82">
        <f t="shared" si="46"/>
        <v>0</v>
      </c>
      <c r="T176" s="82">
        <f t="shared" si="46"/>
        <v>0</v>
      </c>
      <c r="U176" s="82">
        <f t="shared" si="46"/>
        <v>0</v>
      </c>
      <c r="V176" s="82">
        <f t="shared" si="46"/>
        <v>0</v>
      </c>
      <c r="W176" s="82">
        <f t="shared" si="46"/>
        <v>0</v>
      </c>
      <c r="X176" s="82">
        <f t="shared" si="46"/>
        <v>0</v>
      </c>
      <c r="Y176" s="82">
        <f t="shared" si="46"/>
        <v>0</v>
      </c>
      <c r="AQ176" s="3"/>
    </row>
    <row r="177" spans="2:43" x14ac:dyDescent="0.25">
      <c r="C177" s="32"/>
      <c r="F177" s="108" t="s">
        <v>100</v>
      </c>
      <c r="G177" s="108" t="s">
        <v>172</v>
      </c>
      <c r="H177" s="168"/>
      <c r="I177" s="108"/>
      <c r="J177" s="167">
        <f t="shared" ref="J177:Y177" si="47">SUM(J168:J176)</f>
        <v>14500.959836157237</v>
      </c>
      <c r="K177" s="167">
        <f t="shared" si="47"/>
        <v>16.262015932151265</v>
      </c>
      <c r="L177" s="167">
        <f t="shared" si="47"/>
        <v>4536.8913604351037</v>
      </c>
      <c r="M177" s="167">
        <f t="shared" si="47"/>
        <v>0.87009239938257288</v>
      </c>
      <c r="N177" s="167">
        <f t="shared" si="47"/>
        <v>3399.5646462353825</v>
      </c>
      <c r="O177" s="167">
        <f t="shared" si="47"/>
        <v>209.50431647168236</v>
      </c>
      <c r="P177" s="167">
        <f t="shared" si="47"/>
        <v>3459.6270234047538</v>
      </c>
      <c r="Q177" s="167">
        <f t="shared" si="47"/>
        <v>319.24514838689061</v>
      </c>
      <c r="R177" s="167">
        <f t="shared" si="47"/>
        <v>-1.1975680068889747</v>
      </c>
      <c r="S177" s="167">
        <f t="shared" si="47"/>
        <v>0</v>
      </c>
      <c r="T177" s="167">
        <f t="shared" si="47"/>
        <v>-46.736108764928687</v>
      </c>
      <c r="U177" s="167">
        <f t="shared" si="47"/>
        <v>0</v>
      </c>
      <c r="V177" s="167">
        <f t="shared" si="47"/>
        <v>-4.9082981000794463</v>
      </c>
      <c r="W177" s="167">
        <f t="shared" si="47"/>
        <v>0</v>
      </c>
      <c r="X177" s="167">
        <f t="shared" si="47"/>
        <v>-1326.356725674437</v>
      </c>
      <c r="Y177" s="167">
        <f t="shared" si="47"/>
        <v>0</v>
      </c>
      <c r="AQ177" s="3"/>
    </row>
    <row r="178" spans="2:43" x14ac:dyDescent="0.25">
      <c r="H178" s="166"/>
    </row>
    <row r="179" spans="2:43" x14ac:dyDescent="0.25">
      <c r="B179" s="30" t="s">
        <v>523</v>
      </c>
      <c r="C179" s="30"/>
      <c r="D179" s="30"/>
      <c r="E179" s="30"/>
      <c r="F179" s="30"/>
      <c r="G179" s="30"/>
      <c r="H179" s="30"/>
      <c r="I179" s="30"/>
      <c r="J179" s="133"/>
      <c r="K179" s="133"/>
      <c r="L179" s="133"/>
      <c r="M179" s="133"/>
      <c r="N179" s="133"/>
      <c r="O179" s="133"/>
      <c r="P179" s="133"/>
      <c r="Q179" s="133"/>
      <c r="R179" s="133"/>
      <c r="S179" s="133"/>
      <c r="T179" s="133"/>
      <c r="U179" s="133"/>
      <c r="V179" s="133"/>
      <c r="W179" s="133"/>
      <c r="X179" s="133"/>
      <c r="Y179" s="133"/>
      <c r="Z179" s="30"/>
      <c r="AA179" s="30"/>
      <c r="AQ179" s="3"/>
    </row>
    <row r="180" spans="2:43" x14ac:dyDescent="0.25">
      <c r="C180" s="32"/>
      <c r="J180" s="63"/>
      <c r="K180" s="63"/>
      <c r="L180" s="63"/>
      <c r="M180" s="63"/>
      <c r="N180" s="63"/>
      <c r="O180" s="63"/>
      <c r="P180" s="63"/>
      <c r="Q180" s="63"/>
      <c r="R180" s="63"/>
      <c r="S180" s="63"/>
      <c r="T180" s="63"/>
      <c r="U180" s="63"/>
      <c r="V180" s="63"/>
      <c r="W180" s="63"/>
      <c r="X180" s="63"/>
      <c r="Y180" s="63"/>
      <c r="AQ180" s="3"/>
    </row>
    <row r="181" spans="2:43" x14ac:dyDescent="0.25">
      <c r="C181" s="29" t="s">
        <v>524</v>
      </c>
      <c r="J181" s="63"/>
      <c r="K181" s="63"/>
      <c r="L181" s="63"/>
      <c r="M181" s="63"/>
      <c r="N181" s="63"/>
      <c r="O181" s="63"/>
      <c r="P181" s="63"/>
      <c r="Q181" s="63"/>
      <c r="R181" s="63"/>
      <c r="S181" s="63"/>
      <c r="T181" s="63"/>
      <c r="U181" s="63"/>
      <c r="V181" s="63"/>
      <c r="W181" s="63"/>
      <c r="X181" s="63"/>
      <c r="Y181" s="63"/>
      <c r="AQ181" s="3"/>
    </row>
    <row r="182" spans="2:43" x14ac:dyDescent="0.25">
      <c r="C182" s="29" t="s">
        <v>525</v>
      </c>
      <c r="J182" s="63"/>
      <c r="K182" s="63"/>
      <c r="L182" s="63"/>
      <c r="M182" s="63"/>
      <c r="N182" s="63"/>
      <c r="O182" s="63"/>
      <c r="P182" s="63"/>
      <c r="Q182" s="63"/>
      <c r="R182" s="63"/>
      <c r="S182" s="63"/>
      <c r="T182" s="63"/>
      <c r="U182" s="63"/>
      <c r="V182" s="63"/>
      <c r="W182" s="63"/>
      <c r="X182" s="63"/>
      <c r="Y182" s="63"/>
      <c r="AQ182" s="3"/>
    </row>
    <row r="183" spans="2:43" x14ac:dyDescent="0.25">
      <c r="C183" s="32"/>
      <c r="J183" s="63"/>
      <c r="K183" s="63"/>
      <c r="L183" s="63"/>
      <c r="M183" s="63"/>
      <c r="N183" s="63"/>
      <c r="O183" s="63"/>
      <c r="P183" s="63"/>
      <c r="Q183" s="63"/>
      <c r="R183" s="63"/>
      <c r="S183" s="63"/>
      <c r="T183" s="63"/>
      <c r="U183" s="63"/>
      <c r="V183" s="63"/>
      <c r="W183" s="63"/>
      <c r="X183" s="63"/>
      <c r="Y183" s="63"/>
      <c r="AQ183" s="3"/>
    </row>
    <row r="184" spans="2:43" x14ac:dyDescent="0.25">
      <c r="C184" s="31" t="str">
        <f ca="1">INDEX('Version control'!$H$34:$H$57,MATCH($A$1,'Version control'!$F$34:$F$57,0),1)&amp;"-E: Adjustment of import and exceeded capacity"</f>
        <v>Section 106-E: Adjustment of import and exceeded capacity</v>
      </c>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Q184" s="3"/>
    </row>
    <row r="185" spans="2:43" x14ac:dyDescent="0.25">
      <c r="C185" s="32"/>
      <c r="J185" s="63"/>
      <c r="K185" s="63"/>
      <c r="L185" s="63"/>
      <c r="M185" s="63"/>
      <c r="N185" s="63"/>
      <c r="O185" s="63"/>
      <c r="P185" s="63"/>
      <c r="Q185" s="63"/>
      <c r="R185" s="63"/>
      <c r="S185" s="63"/>
      <c r="T185" s="63"/>
      <c r="U185" s="63"/>
      <c r="V185" s="63"/>
      <c r="W185" s="63"/>
      <c r="X185" s="63"/>
      <c r="Y185" s="63"/>
      <c r="AQ185" s="3"/>
    </row>
    <row r="186" spans="2:43" x14ac:dyDescent="0.25">
      <c r="D186" s="29" t="s">
        <v>526</v>
      </c>
      <c r="E186" s="29"/>
      <c r="J186" s="63"/>
      <c r="K186" s="63"/>
      <c r="L186" s="63"/>
      <c r="M186" s="63"/>
      <c r="N186" s="63"/>
      <c r="O186" s="63"/>
      <c r="P186" s="63"/>
      <c r="Q186" s="63"/>
      <c r="R186" s="63"/>
      <c r="S186" s="63"/>
      <c r="T186" s="63"/>
      <c r="U186" s="63"/>
      <c r="V186" s="63"/>
      <c r="W186" s="63"/>
      <c r="X186" s="63"/>
      <c r="Y186" s="63"/>
      <c r="AQ186" s="3"/>
    </row>
    <row r="187" spans="2:43" x14ac:dyDescent="0.25">
      <c r="J187" s="63"/>
      <c r="K187" s="63"/>
      <c r="L187" s="63"/>
      <c r="M187" s="63"/>
      <c r="N187" s="63"/>
      <c r="O187" s="63"/>
      <c r="P187" s="63"/>
      <c r="Q187" s="63"/>
      <c r="R187" s="63"/>
      <c r="S187" s="63"/>
      <c r="T187" s="63"/>
      <c r="U187" s="63"/>
      <c r="V187" s="63"/>
      <c r="W187" s="63"/>
      <c r="X187" s="63"/>
      <c r="Y187" s="63"/>
      <c r="AQ187" s="3"/>
    </row>
    <row r="188" spans="2:43" x14ac:dyDescent="0.25">
      <c r="C188" s="32"/>
      <c r="E188" t="s">
        <v>250</v>
      </c>
      <c r="G188" t="s">
        <v>251</v>
      </c>
      <c r="J188" s="120">
        <f>'Volume adjustments'!J114</f>
        <v>0</v>
      </c>
      <c r="K188" s="120">
        <f>'Volume adjustments'!K114</f>
        <v>0</v>
      </c>
      <c r="L188" s="120">
        <f>'Volume adjustments'!L114</f>
        <v>0</v>
      </c>
      <c r="M188" s="120">
        <f>'Volume adjustments'!M114</f>
        <v>0</v>
      </c>
      <c r="N188" s="120">
        <f>'Volume adjustments'!N114</f>
        <v>2109407.7653642092</v>
      </c>
      <c r="O188" s="120">
        <f>'Volume adjustments'!O114</f>
        <v>161205.59490592603</v>
      </c>
      <c r="P188" s="120">
        <f>'Volume adjustments'!P114</f>
        <v>2787191.000994971</v>
      </c>
      <c r="Q188" s="120">
        <f>'Volume adjustments'!Q114</f>
        <v>0</v>
      </c>
      <c r="R188" s="120">
        <f>'Volume adjustments'!R114</f>
        <v>0</v>
      </c>
      <c r="S188" s="120">
        <f>'Volume adjustments'!S114</f>
        <v>0</v>
      </c>
      <c r="T188" s="120">
        <f>'Volume adjustments'!T114</f>
        <v>0</v>
      </c>
      <c r="U188" s="120">
        <f>'Volume adjustments'!U114</f>
        <v>0</v>
      </c>
      <c r="V188" s="120">
        <f>'Volume adjustments'!V114</f>
        <v>0</v>
      </c>
      <c r="W188" s="120">
        <f>'Volume adjustments'!W114</f>
        <v>0</v>
      </c>
      <c r="X188" s="120">
        <f>'Volume adjustments'!X114</f>
        <v>0</v>
      </c>
      <c r="Y188" s="120">
        <f>'Volume adjustments'!Y114</f>
        <v>0</v>
      </c>
      <c r="AQ188" s="3"/>
    </row>
    <row r="189" spans="2:43" x14ac:dyDescent="0.25">
      <c r="C189" s="32"/>
      <c r="E189" t="s">
        <v>252</v>
      </c>
      <c r="G189" t="s">
        <v>251</v>
      </c>
      <c r="J189" s="120">
        <f>'Volume adjustments'!J125</f>
        <v>0</v>
      </c>
      <c r="K189" s="120">
        <f>'Volume adjustments'!K125</f>
        <v>0</v>
      </c>
      <c r="L189" s="120">
        <f>'Volume adjustments'!L125</f>
        <v>0</v>
      </c>
      <c r="M189" s="120">
        <f>'Volume adjustments'!M125</f>
        <v>0</v>
      </c>
      <c r="N189" s="120">
        <f>'Volume adjustments'!N125</f>
        <v>35656.856343903775</v>
      </c>
      <c r="O189" s="120">
        <f>'Volume adjustments'!O125</f>
        <v>2367.0128416617245</v>
      </c>
      <c r="P189" s="120">
        <f>'Volume adjustments'!P125</f>
        <v>45499.914996202169</v>
      </c>
      <c r="Q189" s="120">
        <f>'Volume adjustments'!Q125</f>
        <v>0</v>
      </c>
      <c r="R189" s="120">
        <f>'Volume adjustments'!R125</f>
        <v>0</v>
      </c>
      <c r="S189" s="120">
        <f>'Volume adjustments'!S125</f>
        <v>0</v>
      </c>
      <c r="T189" s="120">
        <f>'Volume adjustments'!T125</f>
        <v>0</v>
      </c>
      <c r="U189" s="120">
        <f>'Volume adjustments'!U125</f>
        <v>0</v>
      </c>
      <c r="V189" s="120">
        <f>'Volume adjustments'!V125</f>
        <v>0</v>
      </c>
      <c r="W189" s="120">
        <f>'Volume adjustments'!W125</f>
        <v>0</v>
      </c>
      <c r="X189" s="120">
        <f>'Volume adjustments'!X125</f>
        <v>0</v>
      </c>
      <c r="Y189" s="120">
        <f>'Volume adjustments'!Y125</f>
        <v>0</v>
      </c>
      <c r="AQ189" s="3"/>
    </row>
    <row r="190" spans="2:43" x14ac:dyDescent="0.25">
      <c r="C190" s="32"/>
      <c r="J190" s="120"/>
      <c r="K190" s="120"/>
      <c r="L190" s="120"/>
      <c r="M190" s="120"/>
      <c r="N190" s="120"/>
      <c r="O190" s="120"/>
      <c r="P190" s="120"/>
      <c r="Q190" s="120"/>
      <c r="R190" s="120"/>
      <c r="S190" s="120"/>
      <c r="T190" s="120"/>
      <c r="U190" s="120"/>
      <c r="V190" s="120"/>
      <c r="W190" s="120"/>
      <c r="X190" s="120"/>
      <c r="Y190" s="120"/>
      <c r="AQ190" s="3"/>
    </row>
    <row r="191" spans="2:43" x14ac:dyDescent="0.25">
      <c r="C191" s="32"/>
      <c r="E191" t="s">
        <v>527</v>
      </c>
      <c r="G191" t="s">
        <v>251</v>
      </c>
      <c r="J191" s="89">
        <f t="shared" ref="J191:Y191" si="48">SUM(J188:J189)</f>
        <v>0</v>
      </c>
      <c r="K191" s="89">
        <f t="shared" si="48"/>
        <v>0</v>
      </c>
      <c r="L191" s="89">
        <f t="shared" si="48"/>
        <v>0</v>
      </c>
      <c r="M191" s="89">
        <f t="shared" si="48"/>
        <v>0</v>
      </c>
      <c r="N191" s="89">
        <f t="shared" si="48"/>
        <v>2145064.6217081128</v>
      </c>
      <c r="O191" s="89">
        <f t="shared" si="48"/>
        <v>163572.60774758775</v>
      </c>
      <c r="P191" s="89">
        <f t="shared" si="48"/>
        <v>2832690.9159911731</v>
      </c>
      <c r="Q191" s="89">
        <f t="shared" si="48"/>
        <v>0</v>
      </c>
      <c r="R191" s="89">
        <f t="shared" si="48"/>
        <v>0</v>
      </c>
      <c r="S191" s="89">
        <f t="shared" si="48"/>
        <v>0</v>
      </c>
      <c r="T191" s="89">
        <f t="shared" si="48"/>
        <v>0</v>
      </c>
      <c r="U191" s="89">
        <f t="shared" si="48"/>
        <v>0</v>
      </c>
      <c r="V191" s="89">
        <f t="shared" si="48"/>
        <v>0</v>
      </c>
      <c r="W191" s="89">
        <f t="shared" si="48"/>
        <v>0</v>
      </c>
      <c r="X191" s="89">
        <f t="shared" si="48"/>
        <v>0</v>
      </c>
      <c r="Y191" s="89">
        <f t="shared" si="48"/>
        <v>0</v>
      </c>
      <c r="AQ191" s="3"/>
    </row>
    <row r="192" spans="2:43" x14ac:dyDescent="0.25">
      <c r="C192" s="32"/>
      <c r="E192" t="s">
        <v>528</v>
      </c>
      <c r="G192" t="s">
        <v>172</v>
      </c>
      <c r="J192" s="89">
        <f t="shared" ref="J192:Y192" si="49">J191 * PowerFactor / thousand</f>
        <v>0</v>
      </c>
      <c r="K192" s="89">
        <f t="shared" si="49"/>
        <v>0</v>
      </c>
      <c r="L192" s="89">
        <f t="shared" si="49"/>
        <v>0</v>
      </c>
      <c r="M192" s="89">
        <f t="shared" si="49"/>
        <v>0</v>
      </c>
      <c r="N192" s="89">
        <f t="shared" si="49"/>
        <v>2037.811390622707</v>
      </c>
      <c r="O192" s="89">
        <f t="shared" si="49"/>
        <v>155.39397736020837</v>
      </c>
      <c r="P192" s="89">
        <f t="shared" si="49"/>
        <v>2691.056370191614</v>
      </c>
      <c r="Q192" s="89">
        <f t="shared" si="49"/>
        <v>0</v>
      </c>
      <c r="R192" s="89">
        <f t="shared" si="49"/>
        <v>0</v>
      </c>
      <c r="S192" s="89">
        <f t="shared" si="49"/>
        <v>0</v>
      </c>
      <c r="T192" s="89">
        <f t="shared" si="49"/>
        <v>0</v>
      </c>
      <c r="U192" s="89">
        <f t="shared" si="49"/>
        <v>0</v>
      </c>
      <c r="V192" s="89">
        <f t="shared" si="49"/>
        <v>0</v>
      </c>
      <c r="W192" s="89">
        <f t="shared" si="49"/>
        <v>0</v>
      </c>
      <c r="X192" s="89">
        <f t="shared" si="49"/>
        <v>0</v>
      </c>
      <c r="Y192" s="89">
        <f t="shared" si="49"/>
        <v>0</v>
      </c>
      <c r="AQ192" s="3"/>
    </row>
    <row r="193" spans="3:43" x14ac:dyDescent="0.25">
      <c r="C193" s="32"/>
      <c r="J193" s="63"/>
      <c r="K193" s="63"/>
      <c r="L193" s="63"/>
      <c r="M193" s="63"/>
      <c r="N193" s="63"/>
      <c r="O193" s="63"/>
      <c r="P193" s="63"/>
      <c r="Q193" s="63"/>
      <c r="R193" s="63"/>
      <c r="S193" s="63"/>
      <c r="T193" s="63"/>
      <c r="U193" s="63"/>
      <c r="V193" s="63"/>
      <c r="W193" s="63"/>
      <c r="X193" s="63"/>
      <c r="Y193" s="63"/>
      <c r="AQ193" s="3"/>
    </row>
    <row r="194" spans="3:43" x14ac:dyDescent="0.25">
      <c r="C194" s="31" t="str">
        <f ca="1">INDEX('Version control'!$H$34:$H$57,MATCH($A$1,'Version control'!$F$34:$F$57,0),1)&amp;"-F: Calculation of LV circuit diversity factor"</f>
        <v>Section 106-F: Calculation of LV circuit diversity factor</v>
      </c>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Q194" s="3"/>
    </row>
    <row r="195" spans="3:43" x14ac:dyDescent="0.25">
      <c r="C195" s="32"/>
      <c r="J195" s="63"/>
      <c r="K195" s="63"/>
      <c r="L195" s="63"/>
      <c r="M195" s="63"/>
      <c r="N195" s="63"/>
      <c r="O195" s="63"/>
      <c r="P195" s="63"/>
      <c r="Q195" s="63"/>
      <c r="R195" s="63"/>
      <c r="S195" s="63"/>
      <c r="T195" s="63"/>
      <c r="U195" s="63"/>
      <c r="V195" s="63"/>
      <c r="W195" s="63"/>
      <c r="X195" s="63"/>
      <c r="Y195" s="63"/>
      <c r="AQ195" s="3"/>
    </row>
    <row r="196" spans="3:43" x14ac:dyDescent="0.25">
      <c r="C196" s="32"/>
      <c r="D196" s="29" t="s">
        <v>529</v>
      </c>
      <c r="J196" s="63"/>
      <c r="K196" s="63"/>
      <c r="L196" s="63"/>
      <c r="M196" s="63"/>
      <c r="N196" s="63"/>
      <c r="O196" s="63"/>
      <c r="P196" s="63"/>
      <c r="Q196" s="63"/>
      <c r="R196" s="63"/>
      <c r="S196" s="63"/>
      <c r="T196" s="63"/>
      <c r="U196" s="63"/>
      <c r="V196" s="63"/>
      <c r="W196" s="63"/>
      <c r="X196" s="63"/>
      <c r="Y196" s="63"/>
      <c r="AQ196" s="3"/>
    </row>
    <row r="197" spans="3:43" x14ac:dyDescent="0.25">
      <c r="D197" s="32"/>
      <c r="J197" s="63"/>
      <c r="K197" s="63"/>
      <c r="L197" s="63"/>
      <c r="M197" s="63"/>
      <c r="N197" s="63"/>
      <c r="O197" s="63"/>
      <c r="P197" s="63"/>
      <c r="Q197" s="63"/>
      <c r="R197" s="63"/>
      <c r="S197" s="63"/>
      <c r="T197" s="63"/>
      <c r="U197" s="63"/>
      <c r="V197" s="63"/>
      <c r="W197" s="63"/>
      <c r="X197" s="63"/>
      <c r="Y197" s="63"/>
      <c r="AQ197" s="3"/>
    </row>
    <row r="198" spans="3:43" x14ac:dyDescent="0.25">
      <c r="E198" t="s">
        <v>221</v>
      </c>
      <c r="G198" t="s">
        <v>209</v>
      </c>
      <c r="H198" s="166"/>
      <c r="I198" t="s">
        <v>154</v>
      </c>
      <c r="J198" s="169" t="b">
        <f>'Fixed inputs'!J131</f>
        <v>1</v>
      </c>
      <c r="K198" s="169" t="b">
        <f>'Fixed inputs'!K131</f>
        <v>0</v>
      </c>
      <c r="L198" s="169" t="b">
        <f>'Fixed inputs'!L131</f>
        <v>1</v>
      </c>
      <c r="M198" s="169" t="b">
        <f>'Fixed inputs'!M131</f>
        <v>0</v>
      </c>
      <c r="N198" s="169" t="b">
        <f>'Fixed inputs'!N131</f>
        <v>1</v>
      </c>
      <c r="O198" s="169" t="b">
        <f>'Fixed inputs'!O131</f>
        <v>1</v>
      </c>
      <c r="P198" s="169" t="b">
        <f>'Fixed inputs'!P131</f>
        <v>1</v>
      </c>
      <c r="Q198" s="169" t="b">
        <f>'Fixed inputs'!Q131</f>
        <v>1</v>
      </c>
      <c r="R198" s="169" t="b">
        <f>'Fixed inputs'!R131</f>
        <v>1</v>
      </c>
      <c r="S198" s="169" t="b">
        <f>'Fixed inputs'!S131</f>
        <v>1</v>
      </c>
      <c r="T198" s="169" t="b">
        <f>'Fixed inputs'!T131</f>
        <v>1</v>
      </c>
      <c r="U198" s="169" t="b">
        <f>'Fixed inputs'!U131</f>
        <v>1</v>
      </c>
      <c r="V198" s="169" t="b">
        <f>'Fixed inputs'!V131</f>
        <v>1</v>
      </c>
      <c r="W198" s="169" t="b">
        <f>'Fixed inputs'!W131</f>
        <v>1</v>
      </c>
      <c r="X198" s="169" t="b">
        <f>'Fixed inputs'!X131</f>
        <v>1</v>
      </c>
      <c r="Y198" s="169" t="b">
        <f>'Fixed inputs'!Y131</f>
        <v>1</v>
      </c>
      <c r="AA198" t="s">
        <v>530</v>
      </c>
    </row>
    <row r="199" spans="3:43" x14ac:dyDescent="0.25">
      <c r="D199" s="32"/>
      <c r="H199" s="170"/>
      <c r="J199" s="63"/>
      <c r="L199" s="63"/>
      <c r="AQ199" s="3"/>
    </row>
    <row r="200" spans="3:43" x14ac:dyDescent="0.25">
      <c r="C200" s="32"/>
      <c r="E200" t="s">
        <v>531</v>
      </c>
      <c r="G200" t="s">
        <v>172</v>
      </c>
      <c r="H200" s="63"/>
      <c r="I200" t="s">
        <v>154</v>
      </c>
      <c r="J200" s="121">
        <f t="shared" ref="J200:Q200" si="50">IF(J61 = 0, 0, J59 / (hours_in_year * J61))</f>
        <v>2267.3266648329709</v>
      </c>
      <c r="K200" s="121">
        <f t="shared" si="50"/>
        <v>13.309937652820865</v>
      </c>
      <c r="L200" s="121">
        <f t="shared" si="50"/>
        <v>819.46180439647003</v>
      </c>
      <c r="M200" s="121">
        <f t="shared" si="50"/>
        <v>1.1172858732472155</v>
      </c>
      <c r="N200" s="121">
        <f t="shared" si="50"/>
        <v>718.58039481394678</v>
      </c>
      <c r="O200" s="121">
        <f t="shared" si="50"/>
        <v>50.835768858499648</v>
      </c>
      <c r="P200" s="121">
        <f t="shared" si="50"/>
        <v>1115.219449165111</v>
      </c>
      <c r="Q200" s="121">
        <f t="shared" si="50"/>
        <v>51.883346868166747</v>
      </c>
      <c r="R200" s="77"/>
      <c r="S200" s="77"/>
      <c r="T200" s="77"/>
      <c r="U200" s="77"/>
      <c r="V200" s="77"/>
      <c r="W200" s="77"/>
      <c r="X200" s="77"/>
      <c r="Y200" s="77"/>
      <c r="AA200" t="s">
        <v>530</v>
      </c>
      <c r="AQ200" s="3"/>
    </row>
    <row r="201" spans="3:43" x14ac:dyDescent="0.25">
      <c r="C201" s="32"/>
      <c r="H201" s="63"/>
      <c r="J201" s="89"/>
      <c r="K201" s="89"/>
      <c r="L201" s="89"/>
      <c r="M201" s="89"/>
      <c r="N201" s="89"/>
      <c r="O201" s="89"/>
      <c r="P201" s="89"/>
      <c r="Q201" s="89"/>
      <c r="R201" s="63"/>
      <c r="S201" s="63"/>
      <c r="T201" s="63"/>
      <c r="U201" s="63"/>
      <c r="V201" s="63"/>
      <c r="W201" s="63"/>
      <c r="X201" s="63"/>
      <c r="Y201" s="63"/>
      <c r="AQ201" s="3"/>
    </row>
    <row r="202" spans="3:43" x14ac:dyDescent="0.25">
      <c r="E202" t="s">
        <v>532</v>
      </c>
      <c r="G202" t="s">
        <v>172</v>
      </c>
      <c r="H202" s="63"/>
      <c r="I202" t="s">
        <v>154</v>
      </c>
      <c r="J202" s="89">
        <f t="shared" ref="J202:Y202" si="51">J192 * J42 / $H53</f>
        <v>0</v>
      </c>
      <c r="K202" s="89">
        <f t="shared" si="51"/>
        <v>0</v>
      </c>
      <c r="L202" s="89">
        <f t="shared" si="51"/>
        <v>0</v>
      </c>
      <c r="M202" s="89">
        <f t="shared" si="51"/>
        <v>0</v>
      </c>
      <c r="N202" s="89">
        <f t="shared" si="51"/>
        <v>2037.811390622707</v>
      </c>
      <c r="O202" s="89">
        <f t="shared" si="51"/>
        <v>0</v>
      </c>
      <c r="P202" s="89">
        <f t="shared" si="51"/>
        <v>0</v>
      </c>
      <c r="Q202" s="89">
        <f t="shared" si="51"/>
        <v>0</v>
      </c>
      <c r="R202" s="89">
        <f t="shared" si="51"/>
        <v>0</v>
      </c>
      <c r="S202" s="89">
        <f t="shared" si="51"/>
        <v>0</v>
      </c>
      <c r="T202" s="89">
        <f t="shared" si="51"/>
        <v>0</v>
      </c>
      <c r="U202" s="89">
        <f t="shared" si="51"/>
        <v>0</v>
      </c>
      <c r="V202" s="89">
        <f t="shared" si="51"/>
        <v>0</v>
      </c>
      <c r="W202" s="89">
        <f t="shared" si="51"/>
        <v>0</v>
      </c>
      <c r="X202" s="89">
        <f t="shared" si="51"/>
        <v>0</v>
      </c>
      <c r="Y202" s="89">
        <f t="shared" si="51"/>
        <v>0</v>
      </c>
      <c r="AA202" t="s">
        <v>530</v>
      </c>
    </row>
    <row r="203" spans="3:43" x14ac:dyDescent="0.25">
      <c r="H203" s="63"/>
      <c r="J203" s="89"/>
      <c r="K203" s="89"/>
      <c r="L203" s="89"/>
      <c r="M203" s="89"/>
      <c r="N203" s="89"/>
      <c r="O203" s="89"/>
      <c r="P203" s="89"/>
      <c r="Q203" s="89"/>
      <c r="R203" s="89"/>
      <c r="S203" s="89"/>
      <c r="T203" s="89"/>
      <c r="U203" s="89"/>
      <c r="V203" s="89"/>
      <c r="W203" s="89"/>
      <c r="X203" s="89"/>
      <c r="Y203" s="89"/>
    </row>
    <row r="204" spans="3:43" x14ac:dyDescent="0.25">
      <c r="E204" t="s">
        <v>533</v>
      </c>
      <c r="G204" t="s">
        <v>172</v>
      </c>
      <c r="H204" s="63"/>
      <c r="J204" s="89">
        <f t="shared" ref="J204:Y204" si="52">IF(J198, J$200 * J42 / $H53, 0)</f>
        <v>2267.3266648329709</v>
      </c>
      <c r="K204" s="89">
        <f t="shared" si="52"/>
        <v>0</v>
      </c>
      <c r="L204" s="89">
        <f t="shared" si="52"/>
        <v>819.46180439647003</v>
      </c>
      <c r="M204" s="89">
        <f t="shared" si="52"/>
        <v>0</v>
      </c>
      <c r="N204" s="89">
        <f t="shared" si="52"/>
        <v>718.58039481394678</v>
      </c>
      <c r="O204" s="89">
        <f t="shared" si="52"/>
        <v>0</v>
      </c>
      <c r="P204" s="89">
        <f t="shared" si="52"/>
        <v>0</v>
      </c>
      <c r="Q204" s="89">
        <f t="shared" si="52"/>
        <v>51.883346868166747</v>
      </c>
      <c r="R204" s="89">
        <f t="shared" si="52"/>
        <v>0</v>
      </c>
      <c r="S204" s="89">
        <f t="shared" si="52"/>
        <v>0</v>
      </c>
      <c r="T204" s="89">
        <f t="shared" si="52"/>
        <v>0</v>
      </c>
      <c r="U204" s="89">
        <f t="shared" si="52"/>
        <v>0</v>
      </c>
      <c r="V204" s="89">
        <f t="shared" si="52"/>
        <v>0</v>
      </c>
      <c r="W204" s="89">
        <f t="shared" si="52"/>
        <v>0</v>
      </c>
      <c r="X204" s="89">
        <f t="shared" si="52"/>
        <v>0</v>
      </c>
      <c r="Y204" s="89">
        <f t="shared" si="52"/>
        <v>0</v>
      </c>
    </row>
    <row r="205" spans="3:43" x14ac:dyDescent="0.25">
      <c r="H205" s="63"/>
      <c r="J205" s="89"/>
      <c r="K205" s="89"/>
      <c r="L205" s="89"/>
      <c r="M205" s="89"/>
      <c r="N205" s="89"/>
      <c r="O205" s="89"/>
      <c r="P205" s="89"/>
      <c r="Q205" s="89"/>
      <c r="R205" s="89"/>
      <c r="S205" s="89"/>
      <c r="T205" s="89"/>
      <c r="U205" s="89"/>
      <c r="V205" s="89"/>
      <c r="W205" s="89"/>
      <c r="X205" s="89"/>
      <c r="Y205" s="89"/>
    </row>
    <row r="206" spans="3:43" x14ac:dyDescent="0.25">
      <c r="E206" t="s">
        <v>534</v>
      </c>
      <c r="G206" t="s">
        <v>172</v>
      </c>
      <c r="H206" s="63"/>
      <c r="J206" s="89">
        <f t="shared" ref="J206:Y206" si="53">IF(J202 = 0, J204, J202)</f>
        <v>2267.3266648329709</v>
      </c>
      <c r="K206" s="89">
        <f t="shared" si="53"/>
        <v>0</v>
      </c>
      <c r="L206" s="89">
        <f t="shared" si="53"/>
        <v>819.46180439647003</v>
      </c>
      <c r="M206" s="89">
        <f t="shared" si="53"/>
        <v>0</v>
      </c>
      <c r="N206" s="89">
        <f t="shared" si="53"/>
        <v>2037.811390622707</v>
      </c>
      <c r="O206" s="89">
        <f t="shared" si="53"/>
        <v>0</v>
      </c>
      <c r="P206" s="89">
        <f t="shared" si="53"/>
        <v>0</v>
      </c>
      <c r="Q206" s="89">
        <f t="shared" si="53"/>
        <v>51.883346868166747</v>
      </c>
      <c r="R206" s="89">
        <f t="shared" si="53"/>
        <v>0</v>
      </c>
      <c r="S206" s="89">
        <f t="shared" si="53"/>
        <v>0</v>
      </c>
      <c r="T206" s="89">
        <f t="shared" si="53"/>
        <v>0</v>
      </c>
      <c r="U206" s="89">
        <f t="shared" si="53"/>
        <v>0</v>
      </c>
      <c r="V206" s="89">
        <f t="shared" si="53"/>
        <v>0</v>
      </c>
      <c r="W206" s="89">
        <f t="shared" si="53"/>
        <v>0</v>
      </c>
      <c r="X206" s="89">
        <f t="shared" si="53"/>
        <v>0</v>
      </c>
      <c r="Y206" s="89">
        <f t="shared" si="53"/>
        <v>0</v>
      </c>
    </row>
    <row r="207" spans="3:43" x14ac:dyDescent="0.25">
      <c r="H207" s="63"/>
      <c r="J207" s="89"/>
      <c r="K207" s="89"/>
      <c r="L207" s="89"/>
      <c r="M207" s="89"/>
      <c r="N207" s="89"/>
      <c r="O207" s="89"/>
      <c r="P207" s="89"/>
      <c r="Q207" s="89"/>
      <c r="R207" s="89"/>
      <c r="S207" s="89"/>
      <c r="T207" s="89"/>
      <c r="U207" s="89"/>
      <c r="V207" s="89"/>
      <c r="W207" s="89"/>
      <c r="X207" s="89"/>
      <c r="Y207" s="89"/>
    </row>
    <row r="208" spans="3:43" x14ac:dyDescent="0.25">
      <c r="E208" t="s">
        <v>535</v>
      </c>
      <c r="G208" t="s">
        <v>172</v>
      </c>
      <c r="H208" s="63"/>
      <c r="I208" t="s">
        <v>154</v>
      </c>
      <c r="J208" s="89">
        <f t="shared" ref="J208:Y208" si="54">J150</f>
        <v>1972.8142149990083</v>
      </c>
      <c r="K208" s="89">
        <f t="shared" si="54"/>
        <v>2.345946192876323</v>
      </c>
      <c r="L208" s="89">
        <f t="shared" si="54"/>
        <v>628.95747945420464</v>
      </c>
      <c r="M208" s="89">
        <f t="shared" si="54"/>
        <v>0.13657126559991389</v>
      </c>
      <c r="N208" s="89">
        <f t="shared" si="54"/>
        <v>569.96742028488552</v>
      </c>
      <c r="O208" s="89">
        <f t="shared" si="54"/>
        <v>0</v>
      </c>
      <c r="P208" s="89">
        <f t="shared" si="54"/>
        <v>0</v>
      </c>
      <c r="Q208" s="89">
        <f t="shared" si="54"/>
        <v>37.600008278572702</v>
      </c>
      <c r="R208" s="89">
        <f t="shared" si="54"/>
        <v>0</v>
      </c>
      <c r="S208" s="89">
        <f t="shared" si="54"/>
        <v>0</v>
      </c>
      <c r="T208" s="89">
        <f t="shared" si="54"/>
        <v>0</v>
      </c>
      <c r="U208" s="89">
        <f t="shared" si="54"/>
        <v>0</v>
      </c>
      <c r="V208" s="89">
        <f t="shared" si="54"/>
        <v>0</v>
      </c>
      <c r="W208" s="89">
        <f t="shared" si="54"/>
        <v>0</v>
      </c>
      <c r="X208" s="89">
        <f t="shared" si="54"/>
        <v>0</v>
      </c>
      <c r="Y208" s="89">
        <f t="shared" si="54"/>
        <v>0</v>
      </c>
      <c r="AA208" t="s">
        <v>530</v>
      </c>
    </row>
    <row r="209" spans="5:43" x14ac:dyDescent="0.25">
      <c r="H209" s="63"/>
      <c r="J209" s="63"/>
      <c r="K209" s="63"/>
      <c r="L209" s="63"/>
      <c r="M209" s="63"/>
      <c r="N209" s="63"/>
      <c r="O209" s="63"/>
      <c r="P209" s="63"/>
      <c r="Q209" s="63"/>
      <c r="R209" s="63"/>
      <c r="S209" s="63"/>
      <c r="T209" s="63"/>
      <c r="U209" s="63"/>
      <c r="V209" s="63"/>
      <c r="W209" s="63"/>
      <c r="X209" s="63"/>
      <c r="Y209" s="63"/>
    </row>
    <row r="210" spans="5:43" x14ac:dyDescent="0.25">
      <c r="E210" t="s">
        <v>536</v>
      </c>
      <c r="G210" t="s">
        <v>167</v>
      </c>
      <c r="H210" s="171">
        <f>SUM(J206:Y206) / SUM(J208:Y208) - 1</f>
        <v>0.61169697018247948</v>
      </c>
      <c r="J210" s="63"/>
      <c r="K210" s="63"/>
      <c r="L210" s="63"/>
      <c r="M210" s="63"/>
      <c r="N210" s="63"/>
      <c r="O210" s="63"/>
      <c r="P210" s="63"/>
      <c r="Q210" s="63"/>
      <c r="R210" s="63"/>
      <c r="S210" s="63"/>
      <c r="T210" s="63"/>
      <c r="U210" s="63"/>
      <c r="V210" s="63"/>
      <c r="W210" s="63"/>
      <c r="X210" s="63"/>
      <c r="Y210" s="63"/>
    </row>
    <row r="211" spans="5:43" x14ac:dyDescent="0.25">
      <c r="H211" s="166"/>
    </row>
    <row r="212" spans="5:43" x14ac:dyDescent="0.25">
      <c r="E212" s="32" t="s">
        <v>390</v>
      </c>
      <c r="J212" s="63"/>
      <c r="L212" s="63"/>
      <c r="AA212" t="s">
        <v>530</v>
      </c>
      <c r="AQ212" s="3"/>
    </row>
    <row r="213" spans="5:43" x14ac:dyDescent="0.25">
      <c r="E213" s="29" t="s">
        <v>537</v>
      </c>
      <c r="F213" s="29"/>
      <c r="J213" s="63"/>
      <c r="L213" s="63"/>
      <c r="AQ213" s="3"/>
    </row>
    <row r="214" spans="5:43" x14ac:dyDescent="0.25">
      <c r="E214" s="32"/>
      <c r="F214" s="23" t="s">
        <v>191</v>
      </c>
      <c r="G214" s="23" t="s">
        <v>167</v>
      </c>
      <c r="H214" s="107">
        <f t="array" ref="H214:H222">TRANSPOSE('Load &amp; loss characteristics'!K23:S23)</f>
        <v>2.4713742436156094E-2</v>
      </c>
      <c r="J214" s="63"/>
      <c r="K214" s="84"/>
      <c r="L214" s="63"/>
      <c r="M214" s="84"/>
      <c r="AQ214" s="3"/>
    </row>
    <row r="215" spans="5:43" x14ac:dyDescent="0.25">
      <c r="E215" s="32"/>
      <c r="F215" t="s">
        <v>192</v>
      </c>
      <c r="G215" t="s">
        <v>167</v>
      </c>
      <c r="H215" s="25">
        <v>7.0839672179421997E-2</v>
      </c>
      <c r="J215" s="63"/>
      <c r="L215" s="63"/>
      <c r="AQ215" s="3"/>
    </row>
    <row r="216" spans="5:43" x14ac:dyDescent="0.25">
      <c r="E216" s="32"/>
      <c r="F216" t="s">
        <v>193</v>
      </c>
      <c r="G216" t="s">
        <v>167</v>
      </c>
      <c r="H216" s="25">
        <v>7.0839672179421997E-2</v>
      </c>
      <c r="J216" s="63"/>
      <c r="L216" s="63"/>
      <c r="AQ216" s="3"/>
    </row>
    <row r="217" spans="5:43" x14ac:dyDescent="0.25">
      <c r="E217" s="32"/>
      <c r="F217" t="s">
        <v>194</v>
      </c>
      <c r="G217" t="s">
        <v>167</v>
      </c>
      <c r="H217" s="25">
        <v>0.15545489876905783</v>
      </c>
      <c r="J217" s="63"/>
      <c r="L217" s="63"/>
      <c r="AQ217" s="3"/>
    </row>
    <row r="218" spans="5:43" x14ac:dyDescent="0.25">
      <c r="E218" s="32"/>
      <c r="F218" t="s">
        <v>195</v>
      </c>
      <c r="G218" t="s">
        <v>167</v>
      </c>
      <c r="H218" s="25">
        <v>0.15545489876905783</v>
      </c>
      <c r="J218" s="63"/>
      <c r="L218" s="63"/>
      <c r="AQ218" s="3"/>
    </row>
    <row r="219" spans="5:43" x14ac:dyDescent="0.25">
      <c r="E219" s="32"/>
      <c r="F219" t="s">
        <v>196</v>
      </c>
      <c r="G219" t="s">
        <v>167</v>
      </c>
      <c r="H219" s="25">
        <v>7.0839672179421997E-2</v>
      </c>
      <c r="J219" s="63"/>
      <c r="L219" s="63"/>
      <c r="AQ219" s="3"/>
    </row>
    <row r="220" spans="5:43" x14ac:dyDescent="0.25">
      <c r="E220" s="32"/>
      <c r="F220" t="s">
        <v>197</v>
      </c>
      <c r="G220" t="s">
        <v>167</v>
      </c>
      <c r="H220" s="25">
        <v>0.54830956435053779</v>
      </c>
      <c r="J220" s="63"/>
      <c r="L220" s="63"/>
      <c r="AQ220" s="3"/>
    </row>
    <row r="221" spans="5:43" x14ac:dyDescent="0.25">
      <c r="E221" s="32"/>
      <c r="F221" t="s">
        <v>198</v>
      </c>
      <c r="G221" t="s">
        <v>167</v>
      </c>
      <c r="H221" s="25">
        <v>0.54830956435053779</v>
      </c>
      <c r="J221" s="63"/>
      <c r="L221" s="63"/>
      <c r="AQ221" s="3"/>
    </row>
    <row r="222" spans="5:43" x14ac:dyDescent="0.25">
      <c r="E222" s="32"/>
      <c r="F222" s="37" t="s">
        <v>199</v>
      </c>
      <c r="G222" s="37" t="s">
        <v>167</v>
      </c>
      <c r="H222" s="141">
        <v>0.54830956435053779</v>
      </c>
      <c r="J222" s="63"/>
      <c r="L222" s="63"/>
      <c r="AQ222" s="3"/>
    </row>
    <row r="223" spans="5:43" x14ac:dyDescent="0.25">
      <c r="H223" s="166"/>
    </row>
    <row r="224" spans="5:43" x14ac:dyDescent="0.25">
      <c r="E224" s="32" t="s">
        <v>538</v>
      </c>
      <c r="J224" s="63"/>
      <c r="L224" s="63"/>
      <c r="AA224" t="s">
        <v>530</v>
      </c>
      <c r="AQ224" s="3"/>
    </row>
    <row r="225" spans="3:43" x14ac:dyDescent="0.25">
      <c r="E225" s="29" t="s">
        <v>539</v>
      </c>
      <c r="F225" s="29"/>
      <c r="J225" s="63"/>
      <c r="L225" s="63"/>
      <c r="AQ225" s="3"/>
    </row>
    <row r="226" spans="3:43" x14ac:dyDescent="0.25">
      <c r="C226" s="32"/>
      <c r="F226" s="23" t="s">
        <v>191</v>
      </c>
      <c r="G226" s="23" t="s">
        <v>167</v>
      </c>
      <c r="H226" s="172">
        <f t="shared" ref="H226:H233" si="55">IF(F226 = $F$234, $H$210, H214)</f>
        <v>2.4713742436156094E-2</v>
      </c>
      <c r="J226" s="63"/>
      <c r="L226" s="63"/>
      <c r="AQ226" s="3"/>
    </row>
    <row r="227" spans="3:43" x14ac:dyDescent="0.25">
      <c r="C227" s="32"/>
      <c r="F227" t="s">
        <v>192</v>
      </c>
      <c r="G227" t="s">
        <v>167</v>
      </c>
      <c r="H227" s="111">
        <f t="shared" si="55"/>
        <v>7.0839672179421997E-2</v>
      </c>
      <c r="J227" s="63"/>
      <c r="L227" s="63"/>
      <c r="AQ227" s="3"/>
    </row>
    <row r="228" spans="3:43" x14ac:dyDescent="0.25">
      <c r="C228" s="32"/>
      <c r="F228" t="s">
        <v>193</v>
      </c>
      <c r="G228" t="s">
        <v>167</v>
      </c>
      <c r="H228" s="111">
        <f t="shared" si="55"/>
        <v>7.0839672179421997E-2</v>
      </c>
      <c r="J228" s="63"/>
      <c r="L228" s="63"/>
      <c r="AQ228" s="3"/>
    </row>
    <row r="229" spans="3:43" x14ac:dyDescent="0.25">
      <c r="C229" s="32"/>
      <c r="F229" t="s">
        <v>194</v>
      </c>
      <c r="G229" t="s">
        <v>167</v>
      </c>
      <c r="H229" s="111">
        <f t="shared" si="55"/>
        <v>0.15545489876905783</v>
      </c>
      <c r="J229" s="63"/>
      <c r="L229" s="63"/>
      <c r="AQ229" s="3"/>
    </row>
    <row r="230" spans="3:43" x14ac:dyDescent="0.25">
      <c r="C230" s="32"/>
      <c r="F230" t="s">
        <v>195</v>
      </c>
      <c r="G230" t="s">
        <v>167</v>
      </c>
      <c r="H230" s="111">
        <f t="shared" si="55"/>
        <v>0.15545489876905783</v>
      </c>
      <c r="J230" s="63"/>
      <c r="L230" s="63"/>
      <c r="AQ230" s="3"/>
    </row>
    <row r="231" spans="3:43" x14ac:dyDescent="0.25">
      <c r="C231" s="32"/>
      <c r="F231" t="s">
        <v>196</v>
      </c>
      <c r="G231" t="s">
        <v>167</v>
      </c>
      <c r="H231" s="111">
        <f t="shared" si="55"/>
        <v>7.0839672179421997E-2</v>
      </c>
      <c r="J231" s="63"/>
      <c r="L231" s="63"/>
      <c r="AQ231" s="3"/>
    </row>
    <row r="232" spans="3:43" x14ac:dyDescent="0.25">
      <c r="C232" s="32"/>
      <c r="F232" t="s">
        <v>197</v>
      </c>
      <c r="G232" t="s">
        <v>167</v>
      </c>
      <c r="H232" s="111">
        <f t="shared" si="55"/>
        <v>0.54830956435053779</v>
      </c>
      <c r="J232" s="63"/>
      <c r="L232" s="63"/>
      <c r="AQ232" s="3"/>
    </row>
    <row r="233" spans="3:43" x14ac:dyDescent="0.25">
      <c r="C233" s="32"/>
      <c r="F233" t="s">
        <v>198</v>
      </c>
      <c r="G233" t="s">
        <v>167</v>
      </c>
      <c r="H233" s="111">
        <f t="shared" si="55"/>
        <v>0.54830956435053779</v>
      </c>
      <c r="J233" s="63"/>
      <c r="L233" s="63"/>
      <c r="AQ233" s="3"/>
    </row>
    <row r="234" spans="3:43" x14ac:dyDescent="0.25">
      <c r="C234" s="32"/>
      <c r="F234" s="37" t="s">
        <v>199</v>
      </c>
      <c r="G234" s="37" t="s">
        <v>167</v>
      </c>
      <c r="H234" s="143">
        <f>IF(F234 = $F$234, $H$210, H222)</f>
        <v>0.61169697018247948</v>
      </c>
      <c r="J234" s="63"/>
      <c r="L234" s="63"/>
      <c r="AQ234" s="3"/>
    </row>
    <row r="235" spans="3:43" x14ac:dyDescent="0.25">
      <c r="H235" s="166"/>
    </row>
    <row r="236" spans="3:43" x14ac:dyDescent="0.25">
      <c r="C236" s="31" t="str">
        <f ca="1">INDEX('Version control'!$H$34:$H$57,MATCH($A$1,'Version control'!$F$34:$F$57,0),1)&amp;"-G: Import/exceeded capacity contribution to system peak"</f>
        <v>Section 106-G: Import/exceeded capacity contribution to system peak</v>
      </c>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Q236" s="3"/>
    </row>
    <row r="237" spans="3:43" x14ac:dyDescent="0.25">
      <c r="H237" s="166"/>
    </row>
    <row r="238" spans="3:43" x14ac:dyDescent="0.25">
      <c r="E238" s="32" t="s">
        <v>540</v>
      </c>
      <c r="F238" s="29"/>
      <c r="H238" s="173"/>
    </row>
    <row r="239" spans="3:43" x14ac:dyDescent="0.25">
      <c r="C239" s="32"/>
      <c r="F239" s="23" t="s">
        <v>191</v>
      </c>
      <c r="G239" s="23" t="s">
        <v>172</v>
      </c>
      <c r="H239" s="129"/>
      <c r="I239" s="23"/>
      <c r="J239" s="158">
        <f t="shared" ref="J239:Y239" si="56">J$192 * J23 * J34 / (1 + $H226) / $H45</f>
        <v>0</v>
      </c>
      <c r="K239" s="158">
        <f t="shared" si="56"/>
        <v>0</v>
      </c>
      <c r="L239" s="158">
        <f t="shared" si="56"/>
        <v>0</v>
      </c>
      <c r="M239" s="158">
        <f t="shared" si="56"/>
        <v>0</v>
      </c>
      <c r="N239" s="158">
        <f t="shared" si="56"/>
        <v>0</v>
      </c>
      <c r="O239" s="158">
        <f t="shared" si="56"/>
        <v>0</v>
      </c>
      <c r="P239" s="158">
        <f t="shared" si="56"/>
        <v>0</v>
      </c>
      <c r="Q239" s="158">
        <f t="shared" si="56"/>
        <v>0</v>
      </c>
      <c r="R239" s="158">
        <f t="shared" si="56"/>
        <v>0</v>
      </c>
      <c r="S239" s="158">
        <f t="shared" si="56"/>
        <v>0</v>
      </c>
      <c r="T239" s="158">
        <f t="shared" si="56"/>
        <v>0</v>
      </c>
      <c r="U239" s="158">
        <f t="shared" si="56"/>
        <v>0</v>
      </c>
      <c r="V239" s="158">
        <f t="shared" si="56"/>
        <v>0</v>
      </c>
      <c r="W239" s="158">
        <f t="shared" si="56"/>
        <v>0</v>
      </c>
      <c r="X239" s="158">
        <f t="shared" si="56"/>
        <v>0</v>
      </c>
      <c r="Y239" s="158">
        <f t="shared" si="56"/>
        <v>0</v>
      </c>
      <c r="AQ239" s="3"/>
    </row>
    <row r="240" spans="3:43" x14ac:dyDescent="0.25">
      <c r="C240" s="32"/>
      <c r="F240" t="s">
        <v>192</v>
      </c>
      <c r="G240" t="s">
        <v>172</v>
      </c>
      <c r="H240" s="63"/>
      <c r="J240" s="89">
        <f t="shared" ref="J240:Y240" si="57">J$192 * J24 * J35 / (1 + $H227) / $H46</f>
        <v>0</v>
      </c>
      <c r="K240" s="89">
        <f t="shared" si="57"/>
        <v>0</v>
      </c>
      <c r="L240" s="89">
        <f t="shared" si="57"/>
        <v>0</v>
      </c>
      <c r="M240" s="89">
        <f t="shared" si="57"/>
        <v>0</v>
      </c>
      <c r="N240" s="89">
        <f t="shared" si="57"/>
        <v>0</v>
      </c>
      <c r="O240" s="89">
        <f t="shared" si="57"/>
        <v>0</v>
      </c>
      <c r="P240" s="89">
        <f t="shared" si="57"/>
        <v>38.958759406501173</v>
      </c>
      <c r="Q240" s="89">
        <f t="shared" si="57"/>
        <v>0</v>
      </c>
      <c r="R240" s="89">
        <f t="shared" si="57"/>
        <v>0</v>
      </c>
      <c r="S240" s="89">
        <f t="shared" si="57"/>
        <v>0</v>
      </c>
      <c r="T240" s="89">
        <f t="shared" si="57"/>
        <v>0</v>
      </c>
      <c r="U240" s="89">
        <f t="shared" si="57"/>
        <v>0</v>
      </c>
      <c r="V240" s="89">
        <f t="shared" si="57"/>
        <v>0</v>
      </c>
      <c r="W240" s="89">
        <f t="shared" si="57"/>
        <v>0</v>
      </c>
      <c r="X240" s="89">
        <f t="shared" si="57"/>
        <v>0</v>
      </c>
      <c r="Y240" s="89">
        <f t="shared" si="57"/>
        <v>0</v>
      </c>
      <c r="AQ240" s="3"/>
    </row>
    <row r="241" spans="3:43" x14ac:dyDescent="0.25">
      <c r="C241" s="32"/>
      <c r="F241" t="s">
        <v>193</v>
      </c>
      <c r="G241" t="s">
        <v>172</v>
      </c>
      <c r="H241" s="63"/>
      <c r="J241" s="89">
        <f t="shared" ref="J241:Y241" si="58">J$192 * J25 * J36 / (1 + $H228) / $H47</f>
        <v>0</v>
      </c>
      <c r="K241" s="89">
        <f t="shared" si="58"/>
        <v>0</v>
      </c>
      <c r="L241" s="89">
        <f t="shared" si="58"/>
        <v>0</v>
      </c>
      <c r="M241" s="89">
        <f t="shared" si="58"/>
        <v>0</v>
      </c>
      <c r="N241" s="89">
        <f t="shared" si="58"/>
        <v>0</v>
      </c>
      <c r="O241" s="89">
        <f t="shared" si="58"/>
        <v>0</v>
      </c>
      <c r="P241" s="89">
        <f t="shared" si="58"/>
        <v>0</v>
      </c>
      <c r="Q241" s="89">
        <f t="shared" si="58"/>
        <v>0</v>
      </c>
      <c r="R241" s="89">
        <f t="shared" si="58"/>
        <v>0</v>
      </c>
      <c r="S241" s="89">
        <f t="shared" si="58"/>
        <v>0</v>
      </c>
      <c r="T241" s="89">
        <f t="shared" si="58"/>
        <v>0</v>
      </c>
      <c r="U241" s="89">
        <f t="shared" si="58"/>
        <v>0</v>
      </c>
      <c r="V241" s="89">
        <f t="shared" si="58"/>
        <v>0</v>
      </c>
      <c r="W241" s="89">
        <f t="shared" si="58"/>
        <v>0</v>
      </c>
      <c r="X241" s="89">
        <f t="shared" si="58"/>
        <v>0</v>
      </c>
      <c r="Y241" s="89">
        <f t="shared" si="58"/>
        <v>0</v>
      </c>
      <c r="AQ241" s="3"/>
    </row>
    <row r="242" spans="3:43" x14ac:dyDescent="0.25">
      <c r="C242" s="32"/>
      <c r="F242" t="s">
        <v>194</v>
      </c>
      <c r="G242" t="s">
        <v>172</v>
      </c>
      <c r="H242" s="63"/>
      <c r="J242" s="89">
        <f t="shared" ref="J242:Y242" si="59">J$192 * J26 * J37 / (1 + $H229) / $H48</f>
        <v>0</v>
      </c>
      <c r="K242" s="89">
        <f t="shared" si="59"/>
        <v>0</v>
      </c>
      <c r="L242" s="89">
        <f t="shared" si="59"/>
        <v>0</v>
      </c>
      <c r="M242" s="89">
        <f t="shared" si="59"/>
        <v>0</v>
      </c>
      <c r="N242" s="89">
        <f t="shared" si="59"/>
        <v>0</v>
      </c>
      <c r="O242" s="89">
        <f t="shared" si="59"/>
        <v>0</v>
      </c>
      <c r="P242" s="89">
        <f t="shared" si="59"/>
        <v>440.19236543812991</v>
      </c>
      <c r="Q242" s="89">
        <f t="shared" si="59"/>
        <v>0</v>
      </c>
      <c r="R242" s="89">
        <f t="shared" si="59"/>
        <v>0</v>
      </c>
      <c r="S242" s="89">
        <f t="shared" si="59"/>
        <v>0</v>
      </c>
      <c r="T242" s="89">
        <f t="shared" si="59"/>
        <v>0</v>
      </c>
      <c r="U242" s="89">
        <f t="shared" si="59"/>
        <v>0</v>
      </c>
      <c r="V242" s="89">
        <f t="shared" si="59"/>
        <v>0</v>
      </c>
      <c r="W242" s="89">
        <f t="shared" si="59"/>
        <v>0</v>
      </c>
      <c r="X242" s="89">
        <f t="shared" si="59"/>
        <v>0</v>
      </c>
      <c r="Y242" s="89">
        <f t="shared" si="59"/>
        <v>0</v>
      </c>
      <c r="AQ242" s="3"/>
    </row>
    <row r="243" spans="3:43" x14ac:dyDescent="0.25">
      <c r="C243" s="32"/>
      <c r="F243" t="s">
        <v>195</v>
      </c>
      <c r="G243" t="s">
        <v>172</v>
      </c>
      <c r="H243" s="63"/>
      <c r="J243" s="89">
        <f t="shared" ref="J243:Y243" si="60">J$192 * J27 * J38 / (1 + $H230) / $H49</f>
        <v>0</v>
      </c>
      <c r="K243" s="89">
        <f t="shared" si="60"/>
        <v>0</v>
      </c>
      <c r="L243" s="89">
        <f t="shared" si="60"/>
        <v>0</v>
      </c>
      <c r="M243" s="89">
        <f t="shared" si="60"/>
        <v>0</v>
      </c>
      <c r="N243" s="89">
        <f t="shared" si="60"/>
        <v>0</v>
      </c>
      <c r="O243" s="89">
        <f t="shared" si="60"/>
        <v>0</v>
      </c>
      <c r="P243" s="89">
        <f t="shared" si="60"/>
        <v>2188.0149929130571</v>
      </c>
      <c r="Q243" s="89">
        <f t="shared" si="60"/>
        <v>0</v>
      </c>
      <c r="R243" s="89">
        <f t="shared" si="60"/>
        <v>0</v>
      </c>
      <c r="S243" s="89">
        <f t="shared" si="60"/>
        <v>0</v>
      </c>
      <c r="T243" s="89">
        <f t="shared" si="60"/>
        <v>0</v>
      </c>
      <c r="U243" s="89">
        <f t="shared" si="60"/>
        <v>0</v>
      </c>
      <c r="V243" s="89">
        <f t="shared" si="60"/>
        <v>0</v>
      </c>
      <c r="W243" s="89">
        <f t="shared" si="60"/>
        <v>0</v>
      </c>
      <c r="X243" s="89">
        <f t="shared" si="60"/>
        <v>0</v>
      </c>
      <c r="Y243" s="89">
        <f t="shared" si="60"/>
        <v>0</v>
      </c>
      <c r="AQ243" s="3"/>
    </row>
    <row r="244" spans="3:43" x14ac:dyDescent="0.25">
      <c r="C244" s="32"/>
      <c r="F244" t="s">
        <v>196</v>
      </c>
      <c r="G244" t="s">
        <v>172</v>
      </c>
      <c r="H244" s="63"/>
      <c r="J244" s="89">
        <f t="shared" ref="J244:Y244" si="61">J$192 * J28 * J39 / (1 + $H231) / $H50</f>
        <v>0</v>
      </c>
      <c r="K244" s="89">
        <f t="shared" si="61"/>
        <v>0</v>
      </c>
      <c r="L244" s="89">
        <f t="shared" si="61"/>
        <v>0</v>
      </c>
      <c r="M244" s="89">
        <f t="shared" si="61"/>
        <v>0</v>
      </c>
      <c r="N244" s="89">
        <f t="shared" si="61"/>
        <v>0</v>
      </c>
      <c r="O244" s="89">
        <f t="shared" si="61"/>
        <v>0</v>
      </c>
      <c r="P244" s="89">
        <f t="shared" si="61"/>
        <v>191.54723374863082</v>
      </c>
      <c r="Q244" s="89">
        <f t="shared" si="61"/>
        <v>0</v>
      </c>
      <c r="R244" s="89">
        <f t="shared" si="61"/>
        <v>0</v>
      </c>
      <c r="S244" s="89">
        <f t="shared" si="61"/>
        <v>0</v>
      </c>
      <c r="T244" s="89">
        <f t="shared" si="61"/>
        <v>0</v>
      </c>
      <c r="U244" s="89">
        <f t="shared" si="61"/>
        <v>0</v>
      </c>
      <c r="V244" s="89">
        <f t="shared" si="61"/>
        <v>0</v>
      </c>
      <c r="W244" s="89">
        <f t="shared" si="61"/>
        <v>0</v>
      </c>
      <c r="X244" s="89">
        <f t="shared" si="61"/>
        <v>0</v>
      </c>
      <c r="Y244" s="89">
        <f t="shared" si="61"/>
        <v>0</v>
      </c>
      <c r="AQ244" s="3"/>
    </row>
    <row r="245" spans="3:43" x14ac:dyDescent="0.25">
      <c r="C245" s="32"/>
      <c r="F245" t="s">
        <v>197</v>
      </c>
      <c r="G245" t="s">
        <v>172</v>
      </c>
      <c r="H245" s="63"/>
      <c r="J245" s="89">
        <f t="shared" ref="J245:Y245" si="62">J$192 * J29 * J40 / (1 + $H232) / $H51</f>
        <v>0</v>
      </c>
      <c r="K245" s="89">
        <f t="shared" si="62"/>
        <v>0</v>
      </c>
      <c r="L245" s="89">
        <f t="shared" si="62"/>
        <v>0</v>
      </c>
      <c r="M245" s="89">
        <f t="shared" si="62"/>
        <v>0</v>
      </c>
      <c r="N245" s="89">
        <f t="shared" si="62"/>
        <v>273.90199153199279</v>
      </c>
      <c r="O245" s="89">
        <f t="shared" si="62"/>
        <v>101.42927294977684</v>
      </c>
      <c r="P245" s="89">
        <f t="shared" si="62"/>
        <v>1738.0609357150222</v>
      </c>
      <c r="Q245" s="89">
        <f t="shared" si="62"/>
        <v>0</v>
      </c>
      <c r="R245" s="89">
        <f t="shared" si="62"/>
        <v>0</v>
      </c>
      <c r="S245" s="89">
        <f t="shared" si="62"/>
        <v>0</v>
      </c>
      <c r="T245" s="89">
        <f t="shared" si="62"/>
        <v>0</v>
      </c>
      <c r="U245" s="89">
        <f t="shared" si="62"/>
        <v>0</v>
      </c>
      <c r="V245" s="89">
        <f t="shared" si="62"/>
        <v>0</v>
      </c>
      <c r="W245" s="89">
        <f t="shared" si="62"/>
        <v>0</v>
      </c>
      <c r="X245" s="89">
        <f t="shared" si="62"/>
        <v>0</v>
      </c>
      <c r="Y245" s="89">
        <f t="shared" si="62"/>
        <v>0</v>
      </c>
      <c r="AQ245" s="3"/>
    </row>
    <row r="246" spans="3:43" x14ac:dyDescent="0.25">
      <c r="C246" s="32"/>
      <c r="F246" t="s">
        <v>198</v>
      </c>
      <c r="G246" t="s">
        <v>172</v>
      </c>
      <c r="H246" s="63"/>
      <c r="J246" s="89">
        <f t="shared" ref="J246:Y246" si="63">J$192 * J30 * J41 / (1 + $H233) / $H52</f>
        <v>0</v>
      </c>
      <c r="K246" s="89">
        <f t="shared" si="63"/>
        <v>0</v>
      </c>
      <c r="L246" s="89">
        <f t="shared" si="63"/>
        <v>0</v>
      </c>
      <c r="M246" s="89">
        <f t="shared" si="63"/>
        <v>0</v>
      </c>
      <c r="N246" s="89">
        <f t="shared" si="63"/>
        <v>1355.1216008937179</v>
      </c>
      <c r="O246" s="89">
        <f t="shared" si="63"/>
        <v>100.36363588917747</v>
      </c>
      <c r="P246" s="89">
        <f t="shared" si="63"/>
        <v>0</v>
      </c>
      <c r="Q246" s="89">
        <f t="shared" si="63"/>
        <v>0</v>
      </c>
      <c r="R246" s="89">
        <f t="shared" si="63"/>
        <v>0</v>
      </c>
      <c r="S246" s="89">
        <f t="shared" si="63"/>
        <v>0</v>
      </c>
      <c r="T246" s="89">
        <f t="shared" si="63"/>
        <v>0</v>
      </c>
      <c r="U246" s="89">
        <f t="shared" si="63"/>
        <v>0</v>
      </c>
      <c r="V246" s="89">
        <f t="shared" si="63"/>
        <v>0</v>
      </c>
      <c r="W246" s="89">
        <f t="shared" si="63"/>
        <v>0</v>
      </c>
      <c r="X246" s="89">
        <f t="shared" si="63"/>
        <v>0</v>
      </c>
      <c r="Y246" s="89">
        <f t="shared" si="63"/>
        <v>0</v>
      </c>
      <c r="AQ246" s="3"/>
    </row>
    <row r="247" spans="3:43" x14ac:dyDescent="0.25">
      <c r="C247" s="32"/>
      <c r="F247" s="37" t="s">
        <v>199</v>
      </c>
      <c r="G247" s="37" t="s">
        <v>172</v>
      </c>
      <c r="H247" s="130"/>
      <c r="I247" s="37"/>
      <c r="J247" s="82">
        <f t="shared" ref="J247:Y247" si="64">J$192 * J31 * J42 / (1 + $H234) / $H53</f>
        <v>0</v>
      </c>
      <c r="K247" s="82">
        <f t="shared" si="64"/>
        <v>0</v>
      </c>
      <c r="L247" s="82">
        <f t="shared" si="64"/>
        <v>0</v>
      </c>
      <c r="M247" s="82">
        <f t="shared" si="64"/>
        <v>0</v>
      </c>
      <c r="N247" s="82">
        <f t="shared" si="64"/>
        <v>1264.3886712723559</v>
      </c>
      <c r="O247" s="82">
        <f t="shared" si="64"/>
        <v>0</v>
      </c>
      <c r="P247" s="82">
        <f t="shared" si="64"/>
        <v>0</v>
      </c>
      <c r="Q247" s="82">
        <f t="shared" si="64"/>
        <v>0</v>
      </c>
      <c r="R247" s="82">
        <f t="shared" si="64"/>
        <v>0</v>
      </c>
      <c r="S247" s="82">
        <f t="shared" si="64"/>
        <v>0</v>
      </c>
      <c r="T247" s="82">
        <f t="shared" si="64"/>
        <v>0</v>
      </c>
      <c r="U247" s="82">
        <f t="shared" si="64"/>
        <v>0</v>
      </c>
      <c r="V247" s="82">
        <f t="shared" si="64"/>
        <v>0</v>
      </c>
      <c r="W247" s="82">
        <f t="shared" si="64"/>
        <v>0</v>
      </c>
      <c r="X247" s="82">
        <f t="shared" si="64"/>
        <v>0</v>
      </c>
      <c r="Y247" s="82">
        <f t="shared" si="64"/>
        <v>0</v>
      </c>
      <c r="AQ247" s="3"/>
    </row>
    <row r="248" spans="3:43" x14ac:dyDescent="0.25">
      <c r="H248" s="166"/>
      <c r="J248" s="89"/>
      <c r="K248" s="89"/>
      <c r="L248" s="89"/>
      <c r="M248" s="89"/>
      <c r="N248" s="89"/>
      <c r="O248" s="89"/>
      <c r="P248" s="89"/>
      <c r="Q248" s="89"/>
      <c r="R248" s="89"/>
      <c r="S248" s="89"/>
      <c r="T248" s="89"/>
      <c r="U248" s="89"/>
      <c r="V248" s="89"/>
      <c r="W248" s="89"/>
      <c r="X248" s="89"/>
      <c r="Y248" s="89"/>
    </row>
    <row r="249" spans="3:43" x14ac:dyDescent="0.25">
      <c r="C249" s="31" t="str">
        <f ca="1">INDEX('Version control'!$H$34:$H$57,MATCH($A$1,'Version control'!$F$34:$F$57,0),1)&amp;"-H: Estimated capacity contribution to system peak"</f>
        <v>Section 106-H: Estimated capacity contribution to system peak</v>
      </c>
      <c r="D249" s="31"/>
      <c r="E249" s="31"/>
      <c r="F249" s="31"/>
      <c r="G249" s="31"/>
      <c r="H249" s="31"/>
      <c r="I249" s="31"/>
      <c r="J249" s="90"/>
      <c r="K249" s="90"/>
      <c r="L249" s="90"/>
      <c r="M249" s="90"/>
      <c r="N249" s="90"/>
      <c r="O249" s="90"/>
      <c r="P249" s="90"/>
      <c r="Q249" s="90"/>
      <c r="R249" s="90"/>
      <c r="S249" s="90"/>
      <c r="T249" s="90"/>
      <c r="U249" s="90"/>
      <c r="V249" s="90"/>
      <c r="W249" s="90"/>
      <c r="X249" s="90"/>
      <c r="Y249" s="90"/>
      <c r="Z249" s="31"/>
      <c r="AA249" s="31"/>
      <c r="AQ249" s="3"/>
    </row>
    <row r="250" spans="3:43" x14ac:dyDescent="0.25">
      <c r="H250" s="166"/>
      <c r="J250" s="89"/>
      <c r="K250" s="89"/>
      <c r="L250" s="89"/>
      <c r="M250" s="89"/>
      <c r="N250" s="89"/>
      <c r="O250" s="89"/>
      <c r="P250" s="89"/>
      <c r="Q250" s="89"/>
      <c r="R250" s="89"/>
      <c r="S250" s="89"/>
      <c r="T250" s="89"/>
      <c r="U250" s="89"/>
      <c r="V250" s="89"/>
      <c r="W250" s="89"/>
      <c r="X250" s="89"/>
      <c r="Y250" s="89"/>
    </row>
    <row r="251" spans="3:43" x14ac:dyDescent="0.25">
      <c r="E251" s="32" t="s">
        <v>541</v>
      </c>
      <c r="F251" s="29"/>
      <c r="H251" s="166"/>
      <c r="J251" s="89"/>
      <c r="K251" s="89"/>
      <c r="L251" s="89"/>
      <c r="M251" s="89"/>
      <c r="N251" s="89"/>
      <c r="O251" s="89"/>
      <c r="P251" s="89"/>
      <c r="Q251" s="89"/>
      <c r="R251" s="89"/>
      <c r="S251" s="89"/>
      <c r="T251" s="89"/>
      <c r="U251" s="89"/>
      <c r="V251" s="89"/>
      <c r="W251" s="89"/>
      <c r="X251" s="89"/>
      <c r="Y251" s="89"/>
    </row>
    <row r="252" spans="3:43" x14ac:dyDescent="0.25">
      <c r="C252" s="32"/>
      <c r="F252" s="23" t="s">
        <v>191</v>
      </c>
      <c r="G252" s="129" t="s">
        <v>172</v>
      </c>
      <c r="H252" s="129"/>
      <c r="I252" s="23"/>
      <c r="J252" s="158">
        <f t="shared" ref="J252:Y252" si="65">IF(AND(J$192 = 0, J$198), J$200 * J23 * J34 / (1 + $H226) / $H45, 0)</f>
        <v>0</v>
      </c>
      <c r="K252" s="158">
        <f t="shared" si="65"/>
        <v>0</v>
      </c>
      <c r="L252" s="158">
        <f t="shared" si="65"/>
        <v>0</v>
      </c>
      <c r="M252" s="158">
        <f t="shared" si="65"/>
        <v>0</v>
      </c>
      <c r="N252" s="158">
        <f t="shared" si="65"/>
        <v>0</v>
      </c>
      <c r="O252" s="158">
        <f t="shared" si="65"/>
        <v>0</v>
      </c>
      <c r="P252" s="158">
        <f t="shared" si="65"/>
        <v>0</v>
      </c>
      <c r="Q252" s="158">
        <f t="shared" si="65"/>
        <v>0</v>
      </c>
      <c r="R252" s="158">
        <f t="shared" si="65"/>
        <v>0</v>
      </c>
      <c r="S252" s="158">
        <f t="shared" si="65"/>
        <v>0</v>
      </c>
      <c r="T252" s="158">
        <f t="shared" si="65"/>
        <v>0</v>
      </c>
      <c r="U252" s="158">
        <f t="shared" si="65"/>
        <v>0</v>
      </c>
      <c r="V252" s="158">
        <f t="shared" si="65"/>
        <v>0</v>
      </c>
      <c r="W252" s="158">
        <f t="shared" si="65"/>
        <v>0</v>
      </c>
      <c r="X252" s="158">
        <f t="shared" si="65"/>
        <v>0</v>
      </c>
      <c r="Y252" s="158">
        <f t="shared" si="65"/>
        <v>0</v>
      </c>
      <c r="AQ252" s="3"/>
    </row>
    <row r="253" spans="3:43" x14ac:dyDescent="0.25">
      <c r="C253" s="32"/>
      <c r="F253" t="s">
        <v>192</v>
      </c>
      <c r="G253" s="63" t="s">
        <v>172</v>
      </c>
      <c r="H253" s="63"/>
      <c r="J253" s="89">
        <f t="shared" ref="J253:Y253" si="66">IF(AND(J$192 = 0, J$198), J$200 * J24 * J35 / (1 + $H227) / $H46, 0)</f>
        <v>0</v>
      </c>
      <c r="K253" s="89">
        <f t="shared" si="66"/>
        <v>0</v>
      </c>
      <c r="L253" s="89">
        <f t="shared" si="66"/>
        <v>0</v>
      </c>
      <c r="M253" s="89">
        <f t="shared" si="66"/>
        <v>0</v>
      </c>
      <c r="N253" s="89">
        <f t="shared" si="66"/>
        <v>0</v>
      </c>
      <c r="O253" s="89">
        <f t="shared" si="66"/>
        <v>0</v>
      </c>
      <c r="P253" s="89">
        <f t="shared" si="66"/>
        <v>0</v>
      </c>
      <c r="Q253" s="89">
        <f t="shared" si="66"/>
        <v>0</v>
      </c>
      <c r="R253" s="89">
        <f t="shared" si="66"/>
        <v>0</v>
      </c>
      <c r="S253" s="89">
        <f t="shared" si="66"/>
        <v>0</v>
      </c>
      <c r="T253" s="89">
        <f t="shared" si="66"/>
        <v>0</v>
      </c>
      <c r="U253" s="89">
        <f t="shared" si="66"/>
        <v>0</v>
      </c>
      <c r="V253" s="89">
        <f t="shared" si="66"/>
        <v>0</v>
      </c>
      <c r="W253" s="89">
        <f t="shared" si="66"/>
        <v>0</v>
      </c>
      <c r="X253" s="89">
        <f t="shared" si="66"/>
        <v>0</v>
      </c>
      <c r="Y253" s="89">
        <f t="shared" si="66"/>
        <v>0</v>
      </c>
      <c r="AQ253" s="3"/>
    </row>
    <row r="254" spans="3:43" x14ac:dyDescent="0.25">
      <c r="C254" s="32"/>
      <c r="F254" t="s">
        <v>193</v>
      </c>
      <c r="G254" s="63" t="s">
        <v>172</v>
      </c>
      <c r="H254" s="63"/>
      <c r="J254" s="89">
        <f t="shared" ref="J254:Y254" si="67">IF(AND(J$192 = 0, J$198), J$200 * J25 * J36 / (1 + $H228) / $H47, 0)</f>
        <v>0</v>
      </c>
      <c r="K254" s="89">
        <f t="shared" si="67"/>
        <v>0</v>
      </c>
      <c r="L254" s="89">
        <f t="shared" si="67"/>
        <v>0</v>
      </c>
      <c r="M254" s="89">
        <f t="shared" si="67"/>
        <v>0</v>
      </c>
      <c r="N254" s="89">
        <f t="shared" si="67"/>
        <v>0</v>
      </c>
      <c r="O254" s="89">
        <f t="shared" si="67"/>
        <v>0</v>
      </c>
      <c r="P254" s="89">
        <f t="shared" si="67"/>
        <v>0</v>
      </c>
      <c r="Q254" s="89">
        <f t="shared" si="67"/>
        <v>0</v>
      </c>
      <c r="R254" s="89">
        <f t="shared" si="67"/>
        <v>0</v>
      </c>
      <c r="S254" s="89">
        <f t="shared" si="67"/>
        <v>0</v>
      </c>
      <c r="T254" s="89">
        <f t="shared" si="67"/>
        <v>0</v>
      </c>
      <c r="U254" s="89">
        <f t="shared" si="67"/>
        <v>0</v>
      </c>
      <c r="V254" s="89">
        <f t="shared" si="67"/>
        <v>0</v>
      </c>
      <c r="W254" s="89">
        <f t="shared" si="67"/>
        <v>0</v>
      </c>
      <c r="X254" s="89">
        <f t="shared" si="67"/>
        <v>0</v>
      </c>
      <c r="Y254" s="89">
        <f t="shared" si="67"/>
        <v>0</v>
      </c>
      <c r="AQ254" s="3"/>
    </row>
    <row r="255" spans="3:43" x14ac:dyDescent="0.25">
      <c r="C255" s="32"/>
      <c r="F255" t="s">
        <v>194</v>
      </c>
      <c r="G255" s="63" t="s">
        <v>172</v>
      </c>
      <c r="H255" s="63"/>
      <c r="J255" s="89">
        <f t="shared" ref="J255:Y255" si="68">IF(AND(J$192 = 0, J$198), J$200 * J26 * J37 / (1 + $H229) / $H48, 0)</f>
        <v>0</v>
      </c>
      <c r="K255" s="89">
        <f t="shared" si="68"/>
        <v>0</v>
      </c>
      <c r="L255" s="89">
        <f t="shared" si="68"/>
        <v>0</v>
      </c>
      <c r="M255" s="89">
        <f t="shared" si="68"/>
        <v>0</v>
      </c>
      <c r="N255" s="89">
        <f t="shared" si="68"/>
        <v>0</v>
      </c>
      <c r="O255" s="89">
        <f t="shared" si="68"/>
        <v>0</v>
      </c>
      <c r="P255" s="89">
        <f t="shared" si="68"/>
        <v>0</v>
      </c>
      <c r="Q255" s="89">
        <f t="shared" si="68"/>
        <v>0</v>
      </c>
      <c r="R255" s="89">
        <f t="shared" si="68"/>
        <v>0</v>
      </c>
      <c r="S255" s="89">
        <f t="shared" si="68"/>
        <v>0</v>
      </c>
      <c r="T255" s="89">
        <f t="shared" si="68"/>
        <v>0</v>
      </c>
      <c r="U255" s="89">
        <f t="shared" si="68"/>
        <v>0</v>
      </c>
      <c r="V255" s="89">
        <f t="shared" si="68"/>
        <v>0</v>
      </c>
      <c r="W255" s="89">
        <f t="shared" si="68"/>
        <v>0</v>
      </c>
      <c r="X255" s="89">
        <f t="shared" si="68"/>
        <v>0</v>
      </c>
      <c r="Y255" s="89">
        <f t="shared" si="68"/>
        <v>0</v>
      </c>
      <c r="AQ255" s="3"/>
    </row>
    <row r="256" spans="3:43" x14ac:dyDescent="0.25">
      <c r="C256" s="32"/>
      <c r="F256" t="s">
        <v>195</v>
      </c>
      <c r="G256" s="63" t="s">
        <v>172</v>
      </c>
      <c r="H256" s="63"/>
      <c r="J256" s="89">
        <f t="shared" ref="J256:Y256" si="69">IF(AND(J$192 = 0, J$198), J$200 * J27 * J38 / (1 + $H230) / $H49, 0)</f>
        <v>0</v>
      </c>
      <c r="K256" s="89">
        <f t="shared" si="69"/>
        <v>0</v>
      </c>
      <c r="L256" s="89">
        <f t="shared" si="69"/>
        <v>0</v>
      </c>
      <c r="M256" s="89">
        <f t="shared" si="69"/>
        <v>0</v>
      </c>
      <c r="N256" s="89">
        <f t="shared" si="69"/>
        <v>0</v>
      </c>
      <c r="O256" s="89">
        <f t="shared" si="69"/>
        <v>0</v>
      </c>
      <c r="P256" s="89">
        <f t="shared" si="69"/>
        <v>0</v>
      </c>
      <c r="Q256" s="89">
        <f t="shared" si="69"/>
        <v>0</v>
      </c>
      <c r="R256" s="89">
        <f t="shared" si="69"/>
        <v>0</v>
      </c>
      <c r="S256" s="89">
        <f t="shared" si="69"/>
        <v>0</v>
      </c>
      <c r="T256" s="89">
        <f t="shared" si="69"/>
        <v>0</v>
      </c>
      <c r="U256" s="89">
        <f t="shared" si="69"/>
        <v>0</v>
      </c>
      <c r="V256" s="89">
        <f t="shared" si="69"/>
        <v>0</v>
      </c>
      <c r="W256" s="89">
        <f t="shared" si="69"/>
        <v>0</v>
      </c>
      <c r="X256" s="89">
        <f t="shared" si="69"/>
        <v>0</v>
      </c>
      <c r="Y256" s="89">
        <f t="shared" si="69"/>
        <v>0</v>
      </c>
      <c r="AQ256" s="3"/>
    </row>
    <row r="257" spans="2:43" x14ac:dyDescent="0.25">
      <c r="C257" s="32"/>
      <c r="F257" t="s">
        <v>196</v>
      </c>
      <c r="G257" s="63" t="s">
        <v>172</v>
      </c>
      <c r="H257" s="63"/>
      <c r="J257" s="89">
        <f t="shared" ref="J257:Y257" si="70">IF(AND(J$192 = 0, J$198), J$200 * J28 * J39 / (1 + $H231) / $H50, 0)</f>
        <v>0</v>
      </c>
      <c r="K257" s="89">
        <f t="shared" si="70"/>
        <v>0</v>
      </c>
      <c r="L257" s="89">
        <f t="shared" si="70"/>
        <v>0</v>
      </c>
      <c r="M257" s="89">
        <f t="shared" si="70"/>
        <v>0</v>
      </c>
      <c r="N257" s="89">
        <f t="shared" si="70"/>
        <v>0</v>
      </c>
      <c r="O257" s="89">
        <f t="shared" si="70"/>
        <v>0</v>
      </c>
      <c r="P257" s="89">
        <f t="shared" si="70"/>
        <v>0</v>
      </c>
      <c r="Q257" s="89">
        <f t="shared" si="70"/>
        <v>0</v>
      </c>
      <c r="R257" s="89">
        <f t="shared" si="70"/>
        <v>0</v>
      </c>
      <c r="S257" s="89">
        <f t="shared" si="70"/>
        <v>0</v>
      </c>
      <c r="T257" s="89">
        <f t="shared" si="70"/>
        <v>0</v>
      </c>
      <c r="U257" s="89">
        <f t="shared" si="70"/>
        <v>0</v>
      </c>
      <c r="V257" s="89">
        <f t="shared" si="70"/>
        <v>0</v>
      </c>
      <c r="W257" s="89">
        <f t="shared" si="70"/>
        <v>0</v>
      </c>
      <c r="X257" s="89">
        <f t="shared" si="70"/>
        <v>0</v>
      </c>
      <c r="Y257" s="89">
        <f t="shared" si="70"/>
        <v>0</v>
      </c>
      <c r="AQ257" s="3"/>
    </row>
    <row r="258" spans="2:43" x14ac:dyDescent="0.25">
      <c r="C258" s="32"/>
      <c r="F258" t="s">
        <v>197</v>
      </c>
      <c r="G258" s="63" t="s">
        <v>172</v>
      </c>
      <c r="H258" s="63"/>
      <c r="J258" s="89">
        <f t="shared" ref="J258:Y258" si="71">IF(AND(J$192 = 0, J$198), J$200 * J29 * J40 / (1 + $H232) / $H51, 0)</f>
        <v>0</v>
      </c>
      <c r="K258" s="89">
        <f t="shared" si="71"/>
        <v>0</v>
      </c>
      <c r="L258" s="89">
        <f t="shared" si="71"/>
        <v>0</v>
      </c>
      <c r="M258" s="89">
        <f t="shared" si="71"/>
        <v>0</v>
      </c>
      <c r="N258" s="89">
        <f t="shared" si="71"/>
        <v>0</v>
      </c>
      <c r="O258" s="89">
        <f t="shared" si="71"/>
        <v>0</v>
      </c>
      <c r="P258" s="89">
        <f t="shared" si="71"/>
        <v>0</v>
      </c>
      <c r="Q258" s="89">
        <f t="shared" si="71"/>
        <v>0</v>
      </c>
      <c r="R258" s="89">
        <f t="shared" si="71"/>
        <v>0</v>
      </c>
      <c r="S258" s="89">
        <f t="shared" si="71"/>
        <v>0</v>
      </c>
      <c r="T258" s="89">
        <f t="shared" si="71"/>
        <v>0</v>
      </c>
      <c r="U258" s="89">
        <f t="shared" si="71"/>
        <v>0</v>
      </c>
      <c r="V258" s="89">
        <f t="shared" si="71"/>
        <v>0</v>
      </c>
      <c r="W258" s="89">
        <f t="shared" si="71"/>
        <v>0</v>
      </c>
      <c r="X258" s="89">
        <f t="shared" si="71"/>
        <v>0</v>
      </c>
      <c r="Y258" s="89">
        <f t="shared" si="71"/>
        <v>0</v>
      </c>
      <c r="AQ258" s="3"/>
    </row>
    <row r="259" spans="2:43" x14ac:dyDescent="0.25">
      <c r="C259" s="32"/>
      <c r="F259" t="s">
        <v>198</v>
      </c>
      <c r="G259" s="63" t="s">
        <v>172</v>
      </c>
      <c r="H259" s="63"/>
      <c r="J259" s="89">
        <f t="shared" ref="J259:Y259" si="72">IF(AND(J$192 = 0, J$198), J$200 * J30 * J41 / (1 + $H233) / $H52, 0)</f>
        <v>0</v>
      </c>
      <c r="K259" s="89">
        <f t="shared" si="72"/>
        <v>0</v>
      </c>
      <c r="L259" s="89">
        <f t="shared" si="72"/>
        <v>0</v>
      </c>
      <c r="M259" s="89">
        <f t="shared" si="72"/>
        <v>0</v>
      </c>
      <c r="N259" s="89">
        <f t="shared" si="72"/>
        <v>0</v>
      </c>
      <c r="O259" s="89">
        <f t="shared" si="72"/>
        <v>0</v>
      </c>
      <c r="P259" s="89">
        <f t="shared" si="72"/>
        <v>0</v>
      </c>
      <c r="Q259" s="89">
        <f t="shared" si="72"/>
        <v>0</v>
      </c>
      <c r="R259" s="89">
        <f t="shared" si="72"/>
        <v>0</v>
      </c>
      <c r="S259" s="89">
        <f t="shared" si="72"/>
        <v>0</v>
      </c>
      <c r="T259" s="89">
        <f t="shared" si="72"/>
        <v>0</v>
      </c>
      <c r="U259" s="89">
        <f t="shared" si="72"/>
        <v>0</v>
      </c>
      <c r="V259" s="89">
        <f t="shared" si="72"/>
        <v>0</v>
      </c>
      <c r="W259" s="89">
        <f t="shared" si="72"/>
        <v>0</v>
      </c>
      <c r="X259" s="89">
        <f t="shared" si="72"/>
        <v>0</v>
      </c>
      <c r="Y259" s="89">
        <f t="shared" si="72"/>
        <v>0</v>
      </c>
      <c r="AQ259" s="3"/>
    </row>
    <row r="260" spans="2:43" x14ac:dyDescent="0.25">
      <c r="C260" s="32"/>
      <c r="F260" s="37" t="s">
        <v>199</v>
      </c>
      <c r="G260" s="130" t="s">
        <v>172</v>
      </c>
      <c r="H260" s="130"/>
      <c r="I260" s="37"/>
      <c r="J260" s="82">
        <f t="shared" ref="J260:Y260" si="73">IF(AND(J$192 = 0, J$198), J$200 * J31 * J42 / (1 + $H234) / $H53, 0)</f>
        <v>1406.7946436458583</v>
      </c>
      <c r="K260" s="82">
        <f t="shared" si="73"/>
        <v>0</v>
      </c>
      <c r="L260" s="82">
        <f t="shared" si="73"/>
        <v>508.4465749809587</v>
      </c>
      <c r="M260" s="82">
        <f t="shared" si="73"/>
        <v>0</v>
      </c>
      <c r="N260" s="82">
        <f t="shared" si="73"/>
        <v>0</v>
      </c>
      <c r="O260" s="82">
        <f t="shared" si="73"/>
        <v>0</v>
      </c>
      <c r="P260" s="82">
        <f t="shared" si="73"/>
        <v>0</v>
      </c>
      <c r="Q260" s="82">
        <f t="shared" si="73"/>
        <v>0</v>
      </c>
      <c r="R260" s="82">
        <f t="shared" si="73"/>
        <v>0</v>
      </c>
      <c r="S260" s="82">
        <f t="shared" si="73"/>
        <v>0</v>
      </c>
      <c r="T260" s="82">
        <f t="shared" si="73"/>
        <v>0</v>
      </c>
      <c r="U260" s="82">
        <f t="shared" si="73"/>
        <v>0</v>
      </c>
      <c r="V260" s="82">
        <f t="shared" si="73"/>
        <v>0</v>
      </c>
      <c r="W260" s="82">
        <f t="shared" si="73"/>
        <v>0</v>
      </c>
      <c r="X260" s="82">
        <f t="shared" si="73"/>
        <v>0</v>
      </c>
      <c r="Y260" s="82">
        <f t="shared" si="73"/>
        <v>0</v>
      </c>
      <c r="AQ260" s="3"/>
    </row>
    <row r="261" spans="2:43" x14ac:dyDescent="0.25">
      <c r="H261" s="166"/>
    </row>
    <row r="262" spans="2:43" x14ac:dyDescent="0.25">
      <c r="B262" s="30" t="s">
        <v>542</v>
      </c>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Q262" s="3"/>
    </row>
    <row r="263" spans="2:43" x14ac:dyDescent="0.25">
      <c r="H263" s="166"/>
      <c r="J263" s="63"/>
      <c r="K263" s="63"/>
      <c r="L263" s="63"/>
      <c r="M263" s="63"/>
      <c r="N263" s="63"/>
      <c r="O263" s="63"/>
      <c r="P263" s="63"/>
      <c r="Q263" s="63"/>
      <c r="R263" s="63"/>
      <c r="S263" s="63"/>
      <c r="T263" s="63"/>
      <c r="U263" s="63"/>
      <c r="V263" s="63"/>
      <c r="W263" s="63"/>
      <c r="X263" s="63"/>
      <c r="Y263" s="63"/>
    </row>
    <row r="264" spans="2:43" x14ac:dyDescent="0.25">
      <c r="C264" s="29" t="s">
        <v>543</v>
      </c>
      <c r="H264" s="166"/>
      <c r="J264" s="63"/>
      <c r="K264" s="63"/>
      <c r="L264" s="63"/>
      <c r="M264" s="63"/>
      <c r="N264" s="63"/>
      <c r="O264" s="63"/>
      <c r="P264" s="63"/>
      <c r="Q264" s="63"/>
      <c r="R264" s="63"/>
      <c r="S264" s="63"/>
      <c r="T264" s="63"/>
      <c r="U264" s="63"/>
      <c r="V264" s="63"/>
      <c r="W264" s="63"/>
      <c r="X264" s="63"/>
      <c r="Y264" s="63"/>
    </row>
    <row r="265" spans="2:43" x14ac:dyDescent="0.25">
      <c r="H265" s="166"/>
      <c r="J265" s="63"/>
      <c r="K265" s="63"/>
      <c r="L265" s="63"/>
      <c r="M265" s="63"/>
      <c r="N265" s="63"/>
      <c r="O265" s="63"/>
      <c r="P265" s="63"/>
      <c r="Q265" s="63"/>
      <c r="R265" s="63"/>
      <c r="S265" s="63"/>
      <c r="T265" s="63"/>
      <c r="U265" s="63"/>
      <c r="V265" s="63"/>
      <c r="W265" s="63"/>
      <c r="X265" s="63"/>
      <c r="Y265" s="63"/>
    </row>
    <row r="266" spans="2:43" x14ac:dyDescent="0.25">
      <c r="C266" s="31" t="str">
        <f ca="1">INDEX('Version control'!$H$34:$H$57,MATCH($A$1,'Version control'!$F$34:$F$57,0),1)&amp;"-I: System peak based on chargeable load"</f>
        <v>Section 106-I: System peak based on chargeable load</v>
      </c>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Q266" s="3"/>
    </row>
    <row r="267" spans="2:43" x14ac:dyDescent="0.25">
      <c r="H267" s="166"/>
    </row>
    <row r="268" spans="2:43" x14ac:dyDescent="0.25">
      <c r="E268" s="32" t="s">
        <v>544</v>
      </c>
      <c r="F268" s="29"/>
      <c r="H268" s="173" t="s">
        <v>545</v>
      </c>
      <c r="J268" s="63"/>
      <c r="K268" s="63"/>
      <c r="L268" s="63"/>
      <c r="M268" s="63"/>
      <c r="N268" s="63"/>
      <c r="O268" s="63"/>
      <c r="P268" s="63"/>
      <c r="Q268" s="63"/>
      <c r="R268" s="63"/>
      <c r="S268" s="63"/>
      <c r="T268" s="63"/>
      <c r="U268" s="63"/>
      <c r="V268" s="63"/>
      <c r="W268" s="63"/>
      <c r="X268" s="63"/>
      <c r="Y268" s="63"/>
    </row>
    <row r="269" spans="2:43" x14ac:dyDescent="0.25">
      <c r="C269" s="32"/>
      <c r="F269" s="23" t="s">
        <v>191</v>
      </c>
      <c r="G269" s="23" t="s">
        <v>172</v>
      </c>
      <c r="H269" s="101">
        <f t="shared" ref="H269:H277" si="74">SUM(J269:Y269)</f>
        <v>4224.4721190392174</v>
      </c>
      <c r="I269" s="158"/>
      <c r="J269" s="158">
        <f t="shared" ref="J269:Y269" si="75">J239 + J252 + J168</f>
        <v>2222.2180989973731</v>
      </c>
      <c r="K269" s="158">
        <f t="shared" si="75"/>
        <v>2.1462319218645596</v>
      </c>
      <c r="L269" s="158">
        <f t="shared" si="75"/>
        <v>664.51517969944632</v>
      </c>
      <c r="M269" s="158">
        <f t="shared" si="75"/>
        <v>8.6603779101051492E-2</v>
      </c>
      <c r="N269" s="158">
        <f t="shared" si="75"/>
        <v>598.9701258511152</v>
      </c>
      <c r="O269" s="158">
        <f t="shared" si="75"/>
        <v>43.643002236218337</v>
      </c>
      <c r="P269" s="158">
        <f t="shared" si="75"/>
        <v>948.25736910054172</v>
      </c>
      <c r="Q269" s="158">
        <f t="shared" si="75"/>
        <v>43.586513359212276</v>
      </c>
      <c r="R269" s="158">
        <f t="shared" si="75"/>
        <v>-0.16802711099503781</v>
      </c>
      <c r="S269" s="158">
        <f t="shared" si="75"/>
        <v>0</v>
      </c>
      <c r="T269" s="158">
        <f t="shared" si="75"/>
        <v>-6.6228943047013891</v>
      </c>
      <c r="U269" s="158">
        <f t="shared" si="75"/>
        <v>0</v>
      </c>
      <c r="V269" s="158">
        <f t="shared" si="75"/>
        <v>-0.83635507087135519</v>
      </c>
      <c r="W269" s="158">
        <f t="shared" si="75"/>
        <v>0</v>
      </c>
      <c r="X269" s="158">
        <f t="shared" si="75"/>
        <v>-291.32372941908773</v>
      </c>
      <c r="Y269" s="158">
        <f t="shared" si="75"/>
        <v>0</v>
      </c>
      <c r="AQ269" s="3"/>
    </row>
    <row r="270" spans="2:43" x14ac:dyDescent="0.25">
      <c r="C270" s="32"/>
      <c r="F270" t="s">
        <v>192</v>
      </c>
      <c r="G270" t="s">
        <v>172</v>
      </c>
      <c r="H270" s="121">
        <f t="shared" si="74"/>
        <v>4222.1675563442604</v>
      </c>
      <c r="I270" s="89"/>
      <c r="J270" s="89">
        <f t="shared" ref="J270:Y270" si="76">J240 + J253 + J169</f>
        <v>2167.4734416852571</v>
      </c>
      <c r="K270" s="89">
        <f t="shared" si="76"/>
        <v>2.3342747889454247</v>
      </c>
      <c r="L270" s="89">
        <f t="shared" si="76"/>
        <v>669.85583294661512</v>
      </c>
      <c r="M270" s="89">
        <f t="shared" si="76"/>
        <v>0.11671645325186422</v>
      </c>
      <c r="N270" s="89">
        <f t="shared" si="76"/>
        <v>605.46047940920676</v>
      </c>
      <c r="O270" s="89">
        <f t="shared" si="76"/>
        <v>43.462033923313648</v>
      </c>
      <c r="P270" s="89">
        <f t="shared" si="76"/>
        <v>975.14569060391966</v>
      </c>
      <c r="Q270" s="89">
        <f t="shared" si="76"/>
        <v>43.332688583547842</v>
      </c>
      <c r="R270" s="89">
        <f t="shared" si="76"/>
        <v>-0.17485840536622305</v>
      </c>
      <c r="S270" s="89">
        <f t="shared" si="76"/>
        <v>0</v>
      </c>
      <c r="T270" s="89">
        <f t="shared" si="76"/>
        <v>-6.8391850896542028</v>
      </c>
      <c r="U270" s="89">
        <f t="shared" si="76"/>
        <v>0</v>
      </c>
      <c r="V270" s="89">
        <f t="shared" si="76"/>
        <v>-0.84450138693281662</v>
      </c>
      <c r="W270" s="89">
        <f t="shared" si="76"/>
        <v>0</v>
      </c>
      <c r="X270" s="89">
        <f t="shared" si="76"/>
        <v>-277.15505716784253</v>
      </c>
      <c r="Y270" s="89">
        <f t="shared" si="76"/>
        <v>0</v>
      </c>
      <c r="AQ270" s="3"/>
    </row>
    <row r="271" spans="2:43" x14ac:dyDescent="0.25">
      <c r="C271" s="32"/>
      <c r="F271" t="s">
        <v>193</v>
      </c>
      <c r="G271" t="s">
        <v>172</v>
      </c>
      <c r="H271" s="121">
        <f t="shared" si="74"/>
        <v>3870.8993660010674</v>
      </c>
      <c r="I271" s="89"/>
      <c r="J271" s="89">
        <f t="shared" ref="J271:Y271" si="77">J241 + J254 + J170</f>
        <v>1998.8382429179665</v>
      </c>
      <c r="K271" s="89">
        <f t="shared" si="77"/>
        <v>2.1526620017062776</v>
      </c>
      <c r="L271" s="89">
        <f t="shared" si="77"/>
        <v>617.73926747370615</v>
      </c>
      <c r="M271" s="89">
        <f t="shared" si="77"/>
        <v>0.10763560274869141</v>
      </c>
      <c r="N271" s="89">
        <f t="shared" si="77"/>
        <v>558.35404371903098</v>
      </c>
      <c r="O271" s="89">
        <f t="shared" si="77"/>
        <v>40.080572084597833</v>
      </c>
      <c r="P271" s="89">
        <f t="shared" si="77"/>
        <v>876.50443778163924</v>
      </c>
      <c r="Q271" s="89">
        <f t="shared" si="77"/>
        <v>39.961290156296045</v>
      </c>
      <c r="R271" s="89">
        <f t="shared" si="77"/>
        <v>-0.16125395634370698</v>
      </c>
      <c r="S271" s="89">
        <f t="shared" si="77"/>
        <v>0</v>
      </c>
      <c r="T271" s="89">
        <f t="shared" si="77"/>
        <v>-6.3070782989461289</v>
      </c>
      <c r="U271" s="89">
        <f t="shared" si="77"/>
        <v>0</v>
      </c>
      <c r="V271" s="89">
        <f t="shared" si="77"/>
        <v>-0.77879693284089524</v>
      </c>
      <c r="W271" s="89">
        <f t="shared" si="77"/>
        <v>0</v>
      </c>
      <c r="X271" s="89">
        <f t="shared" si="77"/>
        <v>-255.59165654849326</v>
      </c>
      <c r="Y271" s="89">
        <f t="shared" si="77"/>
        <v>0</v>
      </c>
      <c r="AQ271" s="3"/>
    </row>
    <row r="272" spans="2:43" x14ac:dyDescent="0.25">
      <c r="C272" s="32"/>
      <c r="F272" t="s">
        <v>194</v>
      </c>
      <c r="G272" t="s">
        <v>172</v>
      </c>
      <c r="H272" s="121">
        <f t="shared" si="74"/>
        <v>4087.8105888665091</v>
      </c>
      <c r="I272" s="89"/>
      <c r="J272" s="89">
        <f t="shared" ref="J272:Y272" si="78">J242 + J255 + J171</f>
        <v>1939.9382555428042</v>
      </c>
      <c r="K272" s="89">
        <f t="shared" si="78"/>
        <v>2.3068521761478005</v>
      </c>
      <c r="L272" s="89">
        <f t="shared" si="78"/>
        <v>618.47621850372889</v>
      </c>
      <c r="M272" s="89">
        <f t="shared" si="78"/>
        <v>0.13429537395405633</v>
      </c>
      <c r="N272" s="89">
        <f t="shared" si="78"/>
        <v>560.46919908484563</v>
      </c>
      <c r="O272" s="89">
        <f t="shared" si="78"/>
        <v>39.672427671644748</v>
      </c>
      <c r="P272" s="89">
        <f t="shared" si="78"/>
        <v>1138.8706507632842</v>
      </c>
      <c r="Q272" s="89">
        <f t="shared" si="78"/>
        <v>36.973422998356682</v>
      </c>
      <c r="R272" s="89">
        <f t="shared" si="78"/>
        <v>-0.16600808217361912</v>
      </c>
      <c r="S272" s="89">
        <f t="shared" si="78"/>
        <v>0</v>
      </c>
      <c r="T272" s="89">
        <f t="shared" si="78"/>
        <v>-6.455235095082589</v>
      </c>
      <c r="U272" s="89">
        <f t="shared" si="78"/>
        <v>0</v>
      </c>
      <c r="V272" s="89">
        <f t="shared" si="78"/>
        <v>-0.78181438848654716</v>
      </c>
      <c r="W272" s="89">
        <f t="shared" si="78"/>
        <v>0</v>
      </c>
      <c r="X272" s="89">
        <f t="shared" si="78"/>
        <v>-241.62767568251328</v>
      </c>
      <c r="Y272" s="89">
        <f t="shared" si="78"/>
        <v>0</v>
      </c>
      <c r="AQ272" s="3"/>
    </row>
    <row r="273" spans="2:43" x14ac:dyDescent="0.25">
      <c r="C273" s="32"/>
      <c r="F273" t="s">
        <v>195</v>
      </c>
      <c r="G273" t="s">
        <v>172</v>
      </c>
      <c r="H273" s="121">
        <f t="shared" si="74"/>
        <v>5119.6082254980274</v>
      </c>
      <c r="I273" s="89"/>
      <c r="J273" s="89">
        <f t="shared" ref="J273:Y273" si="79">J243 + J256 + J172</f>
        <v>1928.5268540396114</v>
      </c>
      <c r="K273" s="89">
        <f t="shared" si="79"/>
        <v>2.2932824574645774</v>
      </c>
      <c r="L273" s="89">
        <f t="shared" si="79"/>
        <v>614.83812310076576</v>
      </c>
      <c r="M273" s="89">
        <f t="shared" si="79"/>
        <v>0.1335054011660913</v>
      </c>
      <c r="N273" s="89">
        <f t="shared" si="79"/>
        <v>557.17232144317006</v>
      </c>
      <c r="O273" s="89">
        <f t="shared" si="79"/>
        <v>39.439060450046838</v>
      </c>
      <c r="P273" s="89">
        <f t="shared" si="79"/>
        <v>2188.0149929130571</v>
      </c>
      <c r="Q273" s="89">
        <f t="shared" si="79"/>
        <v>36.755932274836937</v>
      </c>
      <c r="R273" s="89">
        <f t="shared" si="79"/>
        <v>-0.16503156404318606</v>
      </c>
      <c r="S273" s="89">
        <f t="shared" si="79"/>
        <v>0</v>
      </c>
      <c r="T273" s="89">
        <f t="shared" si="79"/>
        <v>-6.4172631239350437</v>
      </c>
      <c r="U273" s="89">
        <f t="shared" si="79"/>
        <v>0</v>
      </c>
      <c r="V273" s="89">
        <f t="shared" si="79"/>
        <v>-0.77721548031897925</v>
      </c>
      <c r="W273" s="89">
        <f t="shared" si="79"/>
        <v>0</v>
      </c>
      <c r="X273" s="89">
        <f t="shared" si="79"/>
        <v>-240.20633641379263</v>
      </c>
      <c r="Y273" s="89">
        <f t="shared" si="79"/>
        <v>0</v>
      </c>
      <c r="AQ273" s="3"/>
    </row>
    <row r="274" spans="2:43" x14ac:dyDescent="0.25">
      <c r="C274" s="32"/>
      <c r="F274" t="s">
        <v>196</v>
      </c>
      <c r="G274" t="s">
        <v>172</v>
      </c>
      <c r="H274" s="121">
        <f t="shared" si="74"/>
        <v>431.1566784043344</v>
      </c>
      <c r="I274" s="89"/>
      <c r="J274" s="89">
        <f t="shared" ref="J274:Y274" si="80">J244 + J257 + J173</f>
        <v>159.94567611258648</v>
      </c>
      <c r="K274" s="89">
        <f t="shared" si="80"/>
        <v>0.17225454862327999</v>
      </c>
      <c r="L274" s="89">
        <f t="shared" si="80"/>
        <v>49.431075849908503</v>
      </c>
      <c r="M274" s="89">
        <f t="shared" si="80"/>
        <v>8.612927692584562E-3</v>
      </c>
      <c r="N274" s="89">
        <f t="shared" si="80"/>
        <v>44.679110653028602</v>
      </c>
      <c r="O274" s="89">
        <f t="shared" si="80"/>
        <v>3.2072201058609418</v>
      </c>
      <c r="P274" s="89">
        <f t="shared" si="80"/>
        <v>191.54723374863082</v>
      </c>
      <c r="Q274" s="89">
        <f t="shared" si="80"/>
        <v>3.1976752471222034</v>
      </c>
      <c r="R274" s="89">
        <f t="shared" si="80"/>
        <v>-1.2903431863286718E-2</v>
      </c>
      <c r="S274" s="89">
        <f t="shared" si="80"/>
        <v>0</v>
      </c>
      <c r="T274" s="89">
        <f t="shared" si="80"/>
        <v>-0.50468811390525403</v>
      </c>
      <c r="U274" s="89">
        <f t="shared" si="80"/>
        <v>0</v>
      </c>
      <c r="V274" s="89">
        <f t="shared" si="80"/>
        <v>-6.2318800642818112E-2</v>
      </c>
      <c r="W274" s="89">
        <f t="shared" si="80"/>
        <v>0</v>
      </c>
      <c r="X274" s="89">
        <f t="shared" si="80"/>
        <v>-20.452270442707622</v>
      </c>
      <c r="Y274" s="89">
        <f t="shared" si="80"/>
        <v>0</v>
      </c>
      <c r="AQ274" s="3"/>
    </row>
    <row r="275" spans="2:43" x14ac:dyDescent="0.25">
      <c r="C275" s="32"/>
      <c r="F275" t="s">
        <v>197</v>
      </c>
      <c r="G275" t="s">
        <v>172</v>
      </c>
      <c r="H275" s="121">
        <f t="shared" si="74"/>
        <v>5328.974257931076</v>
      </c>
      <c r="I275" s="89"/>
      <c r="J275" s="89">
        <f t="shared" ref="J275:Y275" si="81">J245 + J258 + J174</f>
        <v>2052.7931696611308</v>
      </c>
      <c r="K275" s="89">
        <f t="shared" si="81"/>
        <v>2.4410521196145525</v>
      </c>
      <c r="L275" s="89">
        <f t="shared" si="81"/>
        <v>654.45575564829414</v>
      </c>
      <c r="M275" s="89">
        <f t="shared" si="81"/>
        <v>0.14210793852964015</v>
      </c>
      <c r="N275" s="89">
        <f t="shared" si="81"/>
        <v>748.36135760697857</v>
      </c>
      <c r="O275" s="89">
        <f t="shared" si="81"/>
        <v>101.42927294977684</v>
      </c>
      <c r="P275" s="89">
        <f t="shared" si="81"/>
        <v>1738.0609357150222</v>
      </c>
      <c r="Q275" s="89">
        <f t="shared" si="81"/>
        <v>39.124332938514847</v>
      </c>
      <c r="R275" s="89">
        <f t="shared" si="81"/>
        <v>-0.17566551730235203</v>
      </c>
      <c r="S275" s="89">
        <f t="shared" si="81"/>
        <v>0</v>
      </c>
      <c r="T275" s="89">
        <f t="shared" si="81"/>
        <v>-6.8307650894974428</v>
      </c>
      <c r="U275" s="89">
        <f t="shared" si="81"/>
        <v>0</v>
      </c>
      <c r="V275" s="89">
        <f t="shared" si="81"/>
        <v>-0.82729603998603451</v>
      </c>
      <c r="W275" s="89">
        <f t="shared" si="81"/>
        <v>0</v>
      </c>
      <c r="X275" s="89">
        <f t="shared" si="81"/>
        <v>0</v>
      </c>
      <c r="Y275" s="89">
        <f t="shared" si="81"/>
        <v>0</v>
      </c>
      <c r="AQ275" s="3"/>
    </row>
    <row r="276" spans="2:43" x14ac:dyDescent="0.25">
      <c r="C276" s="32"/>
      <c r="F276" t="s">
        <v>198</v>
      </c>
      <c r="G276" t="s">
        <v>172</v>
      </c>
      <c r="H276" s="121">
        <f t="shared" si="74"/>
        <v>4168.627726999187</v>
      </c>
      <c r="I276" s="89"/>
      <c r="J276" s="89">
        <f t="shared" ref="J276:Y276" si="82">J246 + J259 + J175</f>
        <v>2031.2260972005076</v>
      </c>
      <c r="K276" s="89">
        <f t="shared" si="82"/>
        <v>2.4154059177847911</v>
      </c>
      <c r="L276" s="89">
        <f t="shared" si="82"/>
        <v>647.57990721263877</v>
      </c>
      <c r="M276" s="89">
        <f t="shared" si="82"/>
        <v>0.14061492293859329</v>
      </c>
      <c r="N276" s="89">
        <f t="shared" si="82"/>
        <v>1355.1216008937179</v>
      </c>
      <c r="O276" s="89">
        <f t="shared" si="82"/>
        <v>100.36363588917747</v>
      </c>
      <c r="P276" s="89">
        <f t="shared" si="82"/>
        <v>0</v>
      </c>
      <c r="Q276" s="89">
        <f t="shared" si="82"/>
        <v>38.713284550431119</v>
      </c>
      <c r="R276" s="89">
        <f t="shared" si="82"/>
        <v>-0.17381993880156321</v>
      </c>
      <c r="S276" s="89">
        <f t="shared" si="82"/>
        <v>0</v>
      </c>
      <c r="T276" s="89">
        <f t="shared" si="82"/>
        <v>-6.7589996492066398</v>
      </c>
      <c r="U276" s="89">
        <f t="shared" si="82"/>
        <v>0</v>
      </c>
      <c r="V276" s="89">
        <f t="shared" si="82"/>
        <v>0</v>
      </c>
      <c r="W276" s="89">
        <f t="shared" si="82"/>
        <v>0</v>
      </c>
      <c r="X276" s="89">
        <f t="shared" si="82"/>
        <v>0</v>
      </c>
      <c r="Y276" s="89">
        <f t="shared" si="82"/>
        <v>0</v>
      </c>
      <c r="AQ276" s="3"/>
    </row>
    <row r="277" spans="2:43" x14ac:dyDescent="0.25">
      <c r="C277" s="32"/>
      <c r="F277" s="37" t="s">
        <v>199</v>
      </c>
      <c r="G277" s="37" t="s">
        <v>172</v>
      </c>
      <c r="H277" s="131">
        <f t="shared" si="74"/>
        <v>3217.2298981777453</v>
      </c>
      <c r="I277" s="82"/>
      <c r="J277" s="82">
        <f t="shared" ref="J277:Y277" si="83">J247 + J260 + J176</f>
        <v>1406.7946436458583</v>
      </c>
      <c r="K277" s="82">
        <f t="shared" si="83"/>
        <v>0</v>
      </c>
      <c r="L277" s="82">
        <f t="shared" si="83"/>
        <v>508.4465749809587</v>
      </c>
      <c r="M277" s="82">
        <f t="shared" si="83"/>
        <v>0</v>
      </c>
      <c r="N277" s="82">
        <f t="shared" si="83"/>
        <v>1264.3886712723559</v>
      </c>
      <c r="O277" s="82">
        <f t="shared" si="83"/>
        <v>0</v>
      </c>
      <c r="P277" s="82">
        <f t="shared" si="83"/>
        <v>0</v>
      </c>
      <c r="Q277" s="82">
        <f t="shared" si="83"/>
        <v>37.600008278572702</v>
      </c>
      <c r="R277" s="82">
        <f t="shared" si="83"/>
        <v>0</v>
      </c>
      <c r="S277" s="82">
        <f t="shared" si="83"/>
        <v>0</v>
      </c>
      <c r="T277" s="82">
        <f t="shared" si="83"/>
        <v>0</v>
      </c>
      <c r="U277" s="82">
        <f t="shared" si="83"/>
        <v>0</v>
      </c>
      <c r="V277" s="82">
        <f t="shared" si="83"/>
        <v>0</v>
      </c>
      <c r="W277" s="82">
        <f t="shared" si="83"/>
        <v>0</v>
      </c>
      <c r="X277" s="82">
        <f t="shared" si="83"/>
        <v>0</v>
      </c>
      <c r="Y277" s="82">
        <f t="shared" si="83"/>
        <v>0</v>
      </c>
      <c r="AQ277" s="3"/>
    </row>
    <row r="278" spans="2:43" x14ac:dyDescent="0.25">
      <c r="H278" s="166"/>
    </row>
    <row r="279" spans="2:43" x14ac:dyDescent="0.25">
      <c r="B279" s="30" t="s">
        <v>231</v>
      </c>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C279" s="30"/>
      <c r="AD279" s="30"/>
      <c r="AE279" s="30"/>
      <c r="AF279" s="30"/>
      <c r="AG279" s="30"/>
      <c r="AH279" s="30"/>
      <c r="AI279" s="30"/>
      <c r="AJ279" s="30"/>
      <c r="AK279" s="30"/>
      <c r="AL279" s="30"/>
      <c r="AM279" s="30"/>
      <c r="AN279" s="30"/>
      <c r="AO279" s="30"/>
      <c r="AQ279" s="30"/>
    </row>
    <row r="281" spans="2:43" x14ac:dyDescent="0.25">
      <c r="E281" t="s">
        <v>232</v>
      </c>
      <c r="G281" s="6" t="s">
        <v>55</v>
      </c>
      <c r="H281" s="26">
        <f t="array" ref="H281">SUM(IF(ISERROR(H23:Y277), 1))</f>
        <v>0</v>
      </c>
    </row>
    <row r="283" spans="2:43" x14ac:dyDescent="0.25">
      <c r="B283" s="30" t="s">
        <v>106</v>
      </c>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C283" s="30"/>
      <c r="AD283" s="30"/>
      <c r="AE283" s="30"/>
      <c r="AF283" s="30"/>
      <c r="AG283" s="30"/>
      <c r="AH283" s="30"/>
      <c r="AI283" s="30"/>
      <c r="AJ283" s="30"/>
      <c r="AK283" s="30"/>
      <c r="AL283" s="30"/>
      <c r="AM283" s="30"/>
      <c r="AN283" s="30"/>
      <c r="AO283" s="30"/>
      <c r="AQ283" s="30"/>
    </row>
    <row r="288" spans="2:43" x14ac:dyDescent="0.25">
      <c r="J288" s="63"/>
      <c r="L288" s="63"/>
    </row>
    <row r="289" spans="10:12" x14ac:dyDescent="0.25">
      <c r="J289" s="63"/>
      <c r="L289" s="63"/>
    </row>
    <row r="290" spans="10:12" x14ac:dyDescent="0.25">
      <c r="J290" s="63"/>
      <c r="L290" s="63"/>
    </row>
    <row r="291" spans="10:12" x14ac:dyDescent="0.25">
      <c r="J291" s="63"/>
      <c r="L291" s="63"/>
    </row>
    <row r="292" spans="10:12" x14ac:dyDescent="0.25">
      <c r="J292" s="63"/>
      <c r="L292" s="63"/>
    </row>
    <row r="293" spans="10:12" x14ac:dyDescent="0.25">
      <c r="J293" s="63"/>
      <c r="L293" s="63"/>
    </row>
    <row r="294" spans="10:12" x14ac:dyDescent="0.25">
      <c r="J294" s="63"/>
      <c r="L294" s="63"/>
    </row>
    <row r="295" spans="10:12" x14ac:dyDescent="0.25">
      <c r="J295" s="63"/>
      <c r="L295" s="63"/>
    </row>
    <row r="296" spans="10:12" x14ac:dyDescent="0.25">
      <c r="J296" s="63"/>
      <c r="L296" s="63"/>
    </row>
    <row r="297" spans="10:12" x14ac:dyDescent="0.25">
      <c r="J297" s="63"/>
      <c r="L297" s="63"/>
    </row>
    <row r="298" spans="10:12" x14ac:dyDescent="0.25">
      <c r="J298" s="63"/>
      <c r="L298" s="63"/>
    </row>
    <row r="299" spans="10:12" x14ac:dyDescent="0.25">
      <c r="J299" s="63"/>
      <c r="L299" s="63"/>
    </row>
    <row r="300" spans="10:12" x14ac:dyDescent="0.25">
      <c r="J300" s="63"/>
      <c r="L300" s="63"/>
    </row>
    <row r="301" spans="10:12" x14ac:dyDescent="0.25">
      <c r="J301" s="63"/>
      <c r="L301" s="63"/>
    </row>
    <row r="302" spans="10:12" x14ac:dyDescent="0.25">
      <c r="J302" s="63"/>
      <c r="L302" s="63"/>
    </row>
    <row r="303" spans="10:12" x14ac:dyDescent="0.25">
      <c r="J303" s="63"/>
      <c r="L303" s="63"/>
    </row>
    <row r="304" spans="10:12" x14ac:dyDescent="0.25">
      <c r="J304" s="63"/>
      <c r="L304" s="63"/>
    </row>
    <row r="305" spans="10:12" x14ac:dyDescent="0.25">
      <c r="J305" s="63"/>
      <c r="L305" s="63"/>
    </row>
    <row r="306" spans="10:12" x14ac:dyDescent="0.25">
      <c r="J306" s="63"/>
      <c r="L306" s="63"/>
    </row>
    <row r="307" spans="10:12" x14ac:dyDescent="0.25">
      <c r="J307" s="63"/>
      <c r="L307" s="63"/>
    </row>
    <row r="308" spans="10:12" x14ac:dyDescent="0.25">
      <c r="J308" s="63"/>
      <c r="L308" s="63"/>
    </row>
    <row r="309" spans="10:12" x14ac:dyDescent="0.25">
      <c r="J309" s="63"/>
      <c r="L309" s="63"/>
    </row>
    <row r="310" spans="10:12" x14ac:dyDescent="0.25">
      <c r="J310" s="63"/>
      <c r="L310" s="63"/>
    </row>
    <row r="311" spans="10:12" x14ac:dyDescent="0.25">
      <c r="J311" s="63"/>
      <c r="L311" s="63"/>
    </row>
    <row r="312" spans="10:12" x14ac:dyDescent="0.25">
      <c r="J312" s="63"/>
      <c r="L312" s="63"/>
    </row>
    <row r="313" spans="10:12" x14ac:dyDescent="0.25">
      <c r="J313" s="63"/>
      <c r="L313" s="63"/>
    </row>
    <row r="314" spans="10:12" x14ac:dyDescent="0.25">
      <c r="J314" s="63"/>
      <c r="L314" s="63"/>
    </row>
    <row r="315" spans="10:12" x14ac:dyDescent="0.25">
      <c r="J315" s="63"/>
      <c r="L315" s="63"/>
    </row>
    <row r="316" spans="10:12" x14ac:dyDescent="0.25">
      <c r="J316" s="63"/>
      <c r="L316" s="63"/>
    </row>
    <row r="317" spans="10:12" x14ac:dyDescent="0.25">
      <c r="J317" s="63"/>
      <c r="L317" s="63"/>
    </row>
    <row r="318" spans="10:12" x14ac:dyDescent="0.25">
      <c r="J318" s="63"/>
      <c r="L318" s="63"/>
    </row>
    <row r="319" spans="10:12" x14ac:dyDescent="0.25">
      <c r="J319" s="63"/>
      <c r="L319" s="63"/>
    </row>
    <row r="320" spans="10:12" x14ac:dyDescent="0.25">
      <c r="J320" s="63"/>
      <c r="L320" s="63"/>
    </row>
  </sheetData>
  <sheetProtection sheet="1" objects="1" formatCells="0" formatColumns="0" formatRows="0" sort="0" autoFilter="0"/>
  <conditionalFormatting sqref="H281">
    <cfRule type="cellIs" dxfId="144" priority="10" operator="greaterThan">
      <formula>0</formula>
    </cfRule>
  </conditionalFormatting>
  <conditionalFormatting sqref="A4:I4 Z4:XFD4">
    <cfRule type="expression" dxfId="143" priority="9">
      <formula>LEFT($A$4,1) &lt;&gt; "0"</formula>
    </cfRule>
  </conditionalFormatting>
  <conditionalFormatting sqref="N4:P4">
    <cfRule type="expression" dxfId="142" priority="8">
      <formula>LEFT($A$4,1) &lt;&gt; "0"</formula>
    </cfRule>
  </conditionalFormatting>
  <conditionalFormatting sqref="L4:M4">
    <cfRule type="expression" dxfId="141" priority="7">
      <formula>LEFT($A$4,1) &lt;&gt; "0"</formula>
    </cfRule>
  </conditionalFormatting>
  <conditionalFormatting sqref="J4:K4">
    <cfRule type="expression" dxfId="140" priority="6">
      <formula>LEFT($A$4,1) &lt;&gt; "0"</formula>
    </cfRule>
  </conditionalFormatting>
  <conditionalFormatting sqref="Q4">
    <cfRule type="expression" dxfId="139" priority="5">
      <formula>LEFT($A$4,1) &lt;&gt; "0"</formula>
    </cfRule>
  </conditionalFormatting>
  <conditionalFormatting sqref="R4:S4">
    <cfRule type="expression" dxfId="138" priority="4">
      <formula>LEFT($A$4,1) &lt;&gt; "0"</formula>
    </cfRule>
  </conditionalFormatting>
  <conditionalFormatting sqref="T4:U4">
    <cfRule type="expression" dxfId="137" priority="3">
      <formula>LEFT($A$4,1) &lt;&gt; "0"</formula>
    </cfRule>
  </conditionalFormatting>
  <conditionalFormatting sqref="V4:W4">
    <cfRule type="expression" dxfId="136" priority="2">
      <formula>LEFT($A$4,1) &lt;&gt; "0"</formula>
    </cfRule>
  </conditionalFormatting>
  <conditionalFormatting sqref="X4:Y4">
    <cfRule type="expression" dxfId="135"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H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0" width="24.5703125" hidden="1" customWidth="1"/>
    <col min="321" max="16384" width="8.7109375" hidden="1"/>
  </cols>
  <sheetData>
    <row r="1" spans="1:43" s="1" customFormat="1" x14ac:dyDescent="0.25">
      <c r="A1" s="1" t="str">
        <f ca="1">MID(CELL("filename",A1),FIND("]",CELL("filename",A1))+1,255)</f>
        <v>Service model assets</v>
      </c>
    </row>
    <row r="2" spans="1:43" s="1" customFormat="1" x14ac:dyDescent="0.25">
      <c r="A2" s="1" t="str">
        <f>Cover!D21&amp;" - "&amp;Cover!D23</f>
        <v>WPD East Midlands - April 21 Prices</v>
      </c>
    </row>
    <row r="3" spans="1:43" s="5" customFormat="1" x14ac:dyDescent="0.25">
      <c r="A3" s="5" t="str">
        <f>Cover!D2&amp;" - "&amp;Cover!D8&amp;" v"&amp;Cover!D10&amp;" - "&amp;Cover!D19</f>
        <v>CDCM charging model - Release for charge setting v5 - 2021/22</v>
      </c>
    </row>
    <row r="4" spans="1:43" x14ac:dyDescent="0.25">
      <c r="A4" s="12" t="str">
        <f>H38 &amp; IF(H38 = 1, " issue", " issues") &amp;" identified in checks on this sheet"</f>
        <v>0 issues identified in checks on this sheet</v>
      </c>
      <c r="B4" s="13"/>
      <c r="C4" s="13"/>
      <c r="D4" s="13"/>
      <c r="E4" s="13"/>
      <c r="F4" s="13"/>
      <c r="G4" s="13"/>
      <c r="H4" s="14"/>
      <c r="I4" s="14"/>
    </row>
    <row r="5" spans="1:43"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43"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25">
      <c r="C9" s="29" t="s">
        <v>546</v>
      </c>
    </row>
    <row r="10" spans="1:43" x14ac:dyDescent="0.25">
      <c r="C10" s="29" t="s">
        <v>547</v>
      </c>
    </row>
    <row r="11" spans="1:43" x14ac:dyDescent="0.25">
      <c r="D11" s="32"/>
      <c r="AQ11" s="3"/>
    </row>
    <row r="12" spans="1:43" x14ac:dyDescent="0.25">
      <c r="B12" s="30" t="s">
        <v>548</v>
      </c>
      <c r="C12" s="30"/>
      <c r="D12" s="30"/>
      <c r="E12" s="30"/>
      <c r="F12" s="30"/>
      <c r="G12" s="92"/>
      <c r="H12" s="30"/>
      <c r="I12" s="30"/>
      <c r="J12" s="30"/>
      <c r="K12" s="30"/>
      <c r="L12" s="30"/>
      <c r="M12" s="30"/>
      <c r="N12" s="30"/>
      <c r="O12" s="30"/>
      <c r="P12" s="30"/>
      <c r="Q12" s="30"/>
      <c r="R12" s="30"/>
      <c r="S12" s="30"/>
      <c r="T12" s="30"/>
      <c r="U12" s="30"/>
      <c r="V12" s="30"/>
      <c r="W12" s="30"/>
      <c r="X12" s="30"/>
      <c r="Y12" s="30"/>
      <c r="Z12" s="30"/>
      <c r="AA12" s="30"/>
    </row>
    <row r="13" spans="1:43" x14ac:dyDescent="0.25">
      <c r="G13" s="13"/>
    </row>
    <row r="14" spans="1:43" x14ac:dyDescent="0.25">
      <c r="C14" s="31" t="str">
        <f ca="1">INDEX('Version control'!$H$34:$H$57,MATCH($A$1,'Version control'!$F$34:$F$57,0),1)&amp;"-A: Service model notional asset values"</f>
        <v>Section 107-A: Service model notional asset values</v>
      </c>
      <c r="D14" s="31"/>
      <c r="E14" s="31"/>
      <c r="F14" s="31"/>
      <c r="G14" s="96"/>
      <c r="H14" s="31"/>
      <c r="I14" s="31"/>
      <c r="J14" s="31"/>
      <c r="K14" s="31"/>
      <c r="L14" s="31"/>
      <c r="M14" s="31"/>
      <c r="N14" s="31"/>
      <c r="O14" s="31"/>
      <c r="P14" s="31"/>
      <c r="Q14" s="31"/>
      <c r="R14" s="31"/>
      <c r="S14" s="31"/>
      <c r="T14" s="31"/>
      <c r="U14" s="31"/>
      <c r="V14" s="31"/>
      <c r="W14" s="31"/>
      <c r="X14" s="31"/>
      <c r="Y14" s="31"/>
      <c r="Z14" s="31"/>
      <c r="AA14" s="31"/>
    </row>
    <row r="16" spans="1:43" x14ac:dyDescent="0.25">
      <c r="E16" s="28" t="s">
        <v>549</v>
      </c>
      <c r="G16" s="28" t="s">
        <v>212</v>
      </c>
      <c r="J16" s="120">
        <f>'Volume adjustments'!J103</f>
        <v>2550470.1642928589</v>
      </c>
      <c r="K16" s="120">
        <f>'Volume adjustments'!K103</f>
        <v>0</v>
      </c>
      <c r="L16" s="120">
        <f>'Volume adjustments'!L103</f>
        <v>187147.43160675137</v>
      </c>
      <c r="M16" s="120">
        <f>'Volume adjustments'!M103</f>
        <v>0</v>
      </c>
      <c r="N16" s="120">
        <f>'Volume adjustments'!N103</f>
        <v>15647.701878098003</v>
      </c>
      <c r="O16" s="120">
        <f>'Volume adjustments'!O103</f>
        <v>480.9458034931813</v>
      </c>
      <c r="P16" s="120">
        <f>'Volume adjustments'!P103</f>
        <v>3395.8469925859049</v>
      </c>
      <c r="Q16" s="120">
        <f>'Volume adjustments'!Q103</f>
        <v>31.606325583497927</v>
      </c>
      <c r="R16" s="120">
        <f>'Volume adjustments'!R103</f>
        <v>0</v>
      </c>
      <c r="S16" s="120">
        <f>'Volume adjustments'!S103</f>
        <v>0</v>
      </c>
      <c r="T16" s="120">
        <f>'Volume adjustments'!T103</f>
        <v>737.24112185551337</v>
      </c>
      <c r="U16" s="120">
        <f>'Volume adjustments'!U103</f>
        <v>0</v>
      </c>
      <c r="V16" s="120">
        <f>'Volume adjustments'!V103</f>
        <v>52.799295590310457</v>
      </c>
      <c r="W16" s="120">
        <f>'Volume adjustments'!W103</f>
        <v>0</v>
      </c>
      <c r="X16" s="120">
        <f>'Volume adjustments'!X103</f>
        <v>465.20466013888074</v>
      </c>
      <c r="Y16" s="120">
        <f>'Volume adjustments'!Y103</f>
        <v>0</v>
      </c>
    </row>
    <row r="17" spans="5:27" x14ac:dyDescent="0.25">
      <c r="E17" s="28" t="s">
        <v>550</v>
      </c>
      <c r="G17" s="28" t="s">
        <v>207</v>
      </c>
      <c r="J17" s="124">
        <f>'Volume adjustments'!J92</f>
        <v>8818228.7582495511</v>
      </c>
      <c r="K17" s="124">
        <f>'Volume adjustments'!K92</f>
        <v>16184.815415823365</v>
      </c>
      <c r="L17" s="124">
        <f>'Volume adjustments'!L92</f>
        <v>3167383.2014059275</v>
      </c>
      <c r="M17" s="124">
        <f>'Volume adjustments'!M92</f>
        <v>2287.196883502676</v>
      </c>
      <c r="N17" s="124">
        <f>'Volume adjustments'!N92</f>
        <v>3409695.2636651276</v>
      </c>
      <c r="O17" s="124">
        <f>'Volume adjustments'!O92</f>
        <v>260454.51766782315</v>
      </c>
      <c r="P17" s="124">
        <f>'Volume adjustments'!P92</f>
        <v>7110540.2820119867</v>
      </c>
      <c r="Q17" s="124">
        <f>'Volume adjustments'!Q92</f>
        <v>221537.09581764814</v>
      </c>
      <c r="R17" s="124">
        <f>'Volume adjustments'!R92</f>
        <v>1100.4516707975949</v>
      </c>
      <c r="S17" s="124">
        <f>'Volume adjustments'!S92</f>
        <v>0</v>
      </c>
      <c r="T17" s="124">
        <f>'Volume adjustments'!T92</f>
        <v>50917.952575621086</v>
      </c>
      <c r="U17" s="124">
        <f>'Volume adjustments'!U92</f>
        <v>0</v>
      </c>
      <c r="V17" s="124">
        <f>'Volume adjustments'!V92</f>
        <v>7212.6682425852596</v>
      </c>
      <c r="W17" s="124">
        <f>'Volume adjustments'!W92</f>
        <v>0</v>
      </c>
      <c r="X17" s="124">
        <f>'Volume adjustments'!X92</f>
        <v>1433827.4175996934</v>
      </c>
      <c r="Y17" s="124">
        <f>'Volume adjustments'!Y92</f>
        <v>0</v>
      </c>
    </row>
    <row r="18" spans="5:27" x14ac:dyDescent="0.25">
      <c r="J18" s="89"/>
      <c r="K18" s="89"/>
      <c r="L18" s="89"/>
      <c r="M18" s="89"/>
      <c r="N18" s="89"/>
      <c r="O18" s="89"/>
      <c r="P18" s="89"/>
      <c r="Q18" s="89"/>
      <c r="R18" s="89"/>
      <c r="S18" s="89"/>
      <c r="T18" s="89"/>
      <c r="U18" s="89"/>
      <c r="V18" s="89"/>
      <c r="W18" s="89"/>
      <c r="X18" s="89"/>
      <c r="Y18" s="89"/>
    </row>
    <row r="19" spans="5:27" x14ac:dyDescent="0.25">
      <c r="E19" s="88" t="s">
        <v>551</v>
      </c>
      <c r="J19" s="89"/>
      <c r="K19" s="89"/>
      <c r="L19" s="89"/>
      <c r="M19" s="89"/>
      <c r="N19" s="89"/>
      <c r="O19" s="89"/>
      <c r="P19" s="89"/>
      <c r="Q19" s="89"/>
      <c r="R19" s="89"/>
      <c r="S19" s="89"/>
      <c r="T19" s="89"/>
      <c r="U19" s="89"/>
      <c r="V19" s="89"/>
      <c r="W19" s="89"/>
      <c r="X19" s="89"/>
      <c r="Y19" s="89"/>
    </row>
    <row r="20" spans="5:27" x14ac:dyDescent="0.25">
      <c r="E20" s="29" t="s">
        <v>552</v>
      </c>
      <c r="J20" s="89"/>
      <c r="K20" s="89"/>
      <c r="L20" s="89"/>
      <c r="M20" s="89"/>
      <c r="N20" s="89"/>
      <c r="O20" s="89"/>
      <c r="P20" s="89"/>
      <c r="Q20" s="89"/>
      <c r="R20" s="89"/>
      <c r="S20" s="89"/>
      <c r="T20" s="89"/>
      <c r="U20" s="89"/>
      <c r="V20" s="89"/>
      <c r="W20" s="89"/>
      <c r="X20" s="89"/>
      <c r="Y20" s="89"/>
    </row>
    <row r="21" spans="5:27" x14ac:dyDescent="0.25">
      <c r="E21" s="88"/>
      <c r="F21" s="23" t="s">
        <v>376</v>
      </c>
      <c r="G21" s="23" t="s">
        <v>261</v>
      </c>
      <c r="H21" s="174"/>
      <c r="I21" s="23"/>
      <c r="J21" s="124">
        <f>'Inputs by customer type'!J53</f>
        <v>238.55693744607416</v>
      </c>
      <c r="K21" s="124">
        <f>'Inputs by customer type'!K53</f>
        <v>0</v>
      </c>
      <c r="L21" s="124">
        <f>'Inputs by customer type'!L53</f>
        <v>699.48145096347423</v>
      </c>
      <c r="M21" s="124">
        <f>'Inputs by customer type'!M53</f>
        <v>0</v>
      </c>
      <c r="N21" s="124">
        <f>'Inputs by customer type'!N53</f>
        <v>1395.5617923497264</v>
      </c>
      <c r="O21" s="124">
        <f>'Inputs by customer type'!O53</f>
        <v>1089.3859512510783</v>
      </c>
      <c r="P21" s="124">
        <f>'Inputs by customer type'!P53</f>
        <v>0</v>
      </c>
      <c r="Q21" s="83"/>
      <c r="R21" s="124">
        <f>'Inputs by customer type'!R53</f>
        <v>0</v>
      </c>
      <c r="S21" s="124">
        <f>'Inputs by customer type'!S53</f>
        <v>0</v>
      </c>
      <c r="T21" s="124">
        <f>'Inputs by customer type'!T53</f>
        <v>0</v>
      </c>
      <c r="U21" s="124">
        <f>'Inputs by customer type'!U53</f>
        <v>0</v>
      </c>
      <c r="V21" s="124">
        <f>'Inputs by customer type'!V53</f>
        <v>0</v>
      </c>
      <c r="W21" s="124">
        <f>'Inputs by customer type'!W53</f>
        <v>0</v>
      </c>
      <c r="X21" s="124">
        <f>'Inputs by customer type'!X53</f>
        <v>0</v>
      </c>
      <c r="Y21" s="124">
        <f>'Inputs by customer type'!Y53</f>
        <v>0</v>
      </c>
    </row>
    <row r="22" spans="5:27" x14ac:dyDescent="0.25">
      <c r="E22" s="88"/>
      <c r="F22" t="s">
        <v>377</v>
      </c>
      <c r="G22" t="s">
        <v>261</v>
      </c>
      <c r="H22" s="51"/>
      <c r="J22" s="120">
        <f>'Inputs by customer type'!J54</f>
        <v>0</v>
      </c>
      <c r="K22" s="120">
        <f>'Inputs by customer type'!K54</f>
        <v>0</v>
      </c>
      <c r="L22" s="120">
        <f>'Inputs by customer type'!L54</f>
        <v>0</v>
      </c>
      <c r="M22" s="120">
        <f>'Inputs by customer type'!M54</f>
        <v>0</v>
      </c>
      <c r="N22" s="120">
        <f>'Inputs by customer type'!N54</f>
        <v>0</v>
      </c>
      <c r="O22" s="120">
        <f>'Inputs by customer type'!O54</f>
        <v>0</v>
      </c>
      <c r="P22" s="120">
        <f>'Inputs by customer type'!P54</f>
        <v>10057.03205953408</v>
      </c>
      <c r="Q22" s="79"/>
      <c r="R22" s="120">
        <f>'Inputs by customer type'!R54</f>
        <v>0</v>
      </c>
      <c r="S22" s="120">
        <f>'Inputs by customer type'!S54</f>
        <v>0</v>
      </c>
      <c r="T22" s="120">
        <f>'Inputs by customer type'!T54</f>
        <v>0</v>
      </c>
      <c r="U22" s="120">
        <f>'Inputs by customer type'!U54</f>
        <v>0</v>
      </c>
      <c r="V22" s="120">
        <f>'Inputs by customer type'!V54</f>
        <v>0</v>
      </c>
      <c r="W22" s="120">
        <f>'Inputs by customer type'!W54</f>
        <v>0</v>
      </c>
      <c r="X22" s="120">
        <f>'Inputs by customer type'!X54</f>
        <v>6294.1199309749773</v>
      </c>
      <c r="Y22" s="120">
        <f>'Inputs by customer type'!Y54</f>
        <v>6294.1199309749773</v>
      </c>
    </row>
    <row r="23" spans="5:27" x14ac:dyDescent="0.25">
      <c r="E23" s="88"/>
      <c r="F23" s="37" t="s">
        <v>553</v>
      </c>
      <c r="G23" s="37" t="s">
        <v>264</v>
      </c>
      <c r="H23" s="37"/>
      <c r="I23" s="37"/>
      <c r="J23" s="314"/>
      <c r="K23" s="314"/>
      <c r="L23" s="314"/>
      <c r="M23" s="314"/>
      <c r="N23" s="314"/>
      <c r="O23" s="314"/>
      <c r="P23" s="314"/>
      <c r="Q23" s="221">
        <f>'Inputs by customer type'!Q56</f>
        <v>269.67347789473678</v>
      </c>
      <c r="R23" s="314"/>
      <c r="S23" s="314"/>
      <c r="T23" s="314"/>
      <c r="U23" s="314"/>
      <c r="V23" s="314"/>
      <c r="W23" s="314"/>
      <c r="X23" s="314"/>
      <c r="Y23" s="314"/>
    </row>
    <row r="24" spans="5:27" x14ac:dyDescent="0.25">
      <c r="J24" s="89"/>
      <c r="K24" s="89"/>
      <c r="L24" s="89"/>
      <c r="M24" s="89"/>
      <c r="N24" s="89"/>
      <c r="O24" s="89"/>
      <c r="P24" s="89"/>
      <c r="Q24" s="89"/>
      <c r="R24" s="89"/>
      <c r="S24" s="89"/>
      <c r="T24" s="89"/>
      <c r="U24" s="89"/>
      <c r="V24" s="89"/>
      <c r="W24" s="89"/>
      <c r="X24" s="89"/>
      <c r="Y24" s="89"/>
    </row>
    <row r="25" spans="5:27" x14ac:dyDescent="0.25">
      <c r="E25" s="88" t="s">
        <v>554</v>
      </c>
      <c r="J25" s="89"/>
      <c r="K25" s="89"/>
      <c r="L25" s="89"/>
      <c r="M25" s="89"/>
      <c r="N25" s="89"/>
      <c r="O25" s="89"/>
      <c r="P25" s="89"/>
      <c r="Q25" s="89"/>
      <c r="R25" s="89"/>
      <c r="S25" s="89"/>
      <c r="T25" s="89"/>
      <c r="U25" s="89"/>
      <c r="V25" s="89"/>
      <c r="W25" s="89"/>
      <c r="X25" s="89"/>
      <c r="Y25" s="89"/>
    </row>
    <row r="26" spans="5:27" x14ac:dyDescent="0.25">
      <c r="E26" s="29" t="s">
        <v>555</v>
      </c>
      <c r="I26" t="s">
        <v>154</v>
      </c>
      <c r="J26" s="89"/>
      <c r="K26" s="89"/>
      <c r="L26" s="89"/>
      <c r="M26" s="89"/>
      <c r="N26" s="89"/>
      <c r="O26" s="89"/>
      <c r="P26" s="89"/>
      <c r="Q26" s="89"/>
      <c r="R26" s="89"/>
      <c r="S26" s="89"/>
      <c r="T26" s="89"/>
      <c r="U26" s="89"/>
      <c r="V26" s="89"/>
      <c r="W26" s="89"/>
      <c r="X26" s="89"/>
      <c r="Y26" s="89"/>
      <c r="AA26" t="s">
        <v>1070</v>
      </c>
    </row>
    <row r="27" spans="5:27" x14ac:dyDescent="0.25">
      <c r="F27" s="23" t="s">
        <v>376</v>
      </c>
      <c r="G27" s="23" t="s">
        <v>277</v>
      </c>
      <c r="H27" s="129"/>
      <c r="I27" s="23"/>
      <c r="J27" s="126">
        <f t="shared" ref="J27:Y27" si="0">J21 * J$16</f>
        <v>608432351.44129002</v>
      </c>
      <c r="K27" s="126">
        <f t="shared" si="0"/>
        <v>0</v>
      </c>
      <c r="L27" s="126">
        <f t="shared" si="0"/>
        <v>130906157.00437801</v>
      </c>
      <c r="M27" s="126">
        <f t="shared" si="0"/>
        <v>0</v>
      </c>
      <c r="N27" s="126">
        <f t="shared" si="0"/>
        <v>21837334.87915263</v>
      </c>
      <c r="O27" s="126">
        <f t="shared" si="0"/>
        <v>523935.60163863347</v>
      </c>
      <c r="P27" s="126">
        <f t="shared" si="0"/>
        <v>0</v>
      </c>
      <c r="Q27" s="126">
        <f t="shared" si="0"/>
        <v>0</v>
      </c>
      <c r="R27" s="126">
        <f t="shared" si="0"/>
        <v>0</v>
      </c>
      <c r="S27" s="126">
        <f t="shared" si="0"/>
        <v>0</v>
      </c>
      <c r="T27" s="126">
        <f t="shared" si="0"/>
        <v>0</v>
      </c>
      <c r="U27" s="126">
        <f t="shared" si="0"/>
        <v>0</v>
      </c>
      <c r="V27" s="126">
        <f t="shared" si="0"/>
        <v>0</v>
      </c>
      <c r="W27" s="126">
        <f t="shared" si="0"/>
        <v>0</v>
      </c>
      <c r="X27" s="126">
        <f t="shared" si="0"/>
        <v>0</v>
      </c>
      <c r="Y27" s="126">
        <f t="shared" si="0"/>
        <v>0</v>
      </c>
    </row>
    <row r="28" spans="5:27" x14ac:dyDescent="0.25">
      <c r="F28" t="s">
        <v>377</v>
      </c>
      <c r="G28" t="s">
        <v>277</v>
      </c>
      <c r="H28" s="63"/>
      <c r="J28" s="98">
        <f t="shared" ref="J28:Y28" si="1">J22 * J$16</f>
        <v>0</v>
      </c>
      <c r="K28" s="98">
        <f t="shared" si="1"/>
        <v>0</v>
      </c>
      <c r="L28" s="98">
        <f t="shared" si="1"/>
        <v>0</v>
      </c>
      <c r="M28" s="98">
        <f t="shared" si="1"/>
        <v>0</v>
      </c>
      <c r="N28" s="98">
        <f t="shared" si="1"/>
        <v>0</v>
      </c>
      <c r="O28" s="98">
        <f t="shared" si="1"/>
        <v>0</v>
      </c>
      <c r="P28" s="98">
        <f t="shared" si="1"/>
        <v>34152142.073708832</v>
      </c>
      <c r="Q28" s="98">
        <f t="shared" si="1"/>
        <v>0</v>
      </c>
      <c r="R28" s="98">
        <f t="shared" si="1"/>
        <v>0</v>
      </c>
      <c r="S28" s="98">
        <f t="shared" si="1"/>
        <v>0</v>
      </c>
      <c r="T28" s="98">
        <f t="shared" si="1"/>
        <v>0</v>
      </c>
      <c r="U28" s="98">
        <f t="shared" si="1"/>
        <v>0</v>
      </c>
      <c r="V28" s="98">
        <f t="shared" si="1"/>
        <v>0</v>
      </c>
      <c r="W28" s="98">
        <f t="shared" si="1"/>
        <v>0</v>
      </c>
      <c r="X28" s="98">
        <f t="shared" si="1"/>
        <v>2928053.9233625699</v>
      </c>
      <c r="Y28" s="98">
        <f t="shared" si="1"/>
        <v>0</v>
      </c>
    </row>
    <row r="29" spans="5:27" x14ac:dyDescent="0.25">
      <c r="F29" s="37" t="s">
        <v>553</v>
      </c>
      <c r="G29" s="37" t="s">
        <v>277</v>
      </c>
      <c r="H29" s="130"/>
      <c r="I29" s="37"/>
      <c r="J29" s="314"/>
      <c r="K29" s="314"/>
      <c r="L29" s="314"/>
      <c r="M29" s="314"/>
      <c r="N29" s="314"/>
      <c r="O29" s="314"/>
      <c r="P29" s="314"/>
      <c r="Q29" s="153">
        <f t="shared" ref="Q29" si="2">Q23 * Q$17</f>
        <v>59742679.111844718</v>
      </c>
      <c r="R29" s="314"/>
      <c r="S29" s="314"/>
      <c r="T29" s="314"/>
      <c r="U29" s="314"/>
      <c r="V29" s="314"/>
      <c r="W29" s="314"/>
      <c r="X29" s="314"/>
      <c r="Y29" s="314"/>
    </row>
    <row r="30" spans="5:27" x14ac:dyDescent="0.25">
      <c r="J30" s="89"/>
      <c r="K30" s="89"/>
      <c r="L30" s="89"/>
      <c r="M30" s="89"/>
      <c r="N30" s="89"/>
      <c r="O30" s="89"/>
      <c r="P30" s="89"/>
      <c r="Q30" s="89"/>
      <c r="R30" s="89"/>
      <c r="S30" s="89"/>
      <c r="T30" s="89"/>
      <c r="U30" s="89"/>
      <c r="V30" s="89"/>
      <c r="W30" s="89"/>
      <c r="X30" s="89"/>
      <c r="Y30" s="89"/>
    </row>
    <row r="31" spans="5:27" x14ac:dyDescent="0.25">
      <c r="E31" s="88" t="s">
        <v>556</v>
      </c>
      <c r="J31" s="89"/>
      <c r="K31" s="89"/>
      <c r="L31" s="89"/>
      <c r="M31" s="89"/>
      <c r="N31" s="89"/>
      <c r="O31" s="89"/>
      <c r="P31" s="89"/>
      <c r="Q31" s="89"/>
      <c r="R31" s="89"/>
      <c r="S31" s="89"/>
      <c r="T31" s="89"/>
      <c r="U31" s="89"/>
      <c r="V31" s="89"/>
      <c r="W31" s="89"/>
      <c r="X31" s="89"/>
      <c r="Y31" s="89"/>
    </row>
    <row r="32" spans="5:27" x14ac:dyDescent="0.25">
      <c r="E32" s="29" t="s">
        <v>557</v>
      </c>
      <c r="H32" s="128" t="s">
        <v>545</v>
      </c>
      <c r="J32" s="89"/>
      <c r="K32" s="89"/>
      <c r="L32" s="89"/>
      <c r="M32" s="89"/>
      <c r="N32" s="89"/>
      <c r="O32" s="89"/>
      <c r="P32" s="89"/>
      <c r="Q32" s="89"/>
      <c r="R32" s="89"/>
      <c r="S32" s="89"/>
      <c r="T32" s="89"/>
      <c r="U32" s="89"/>
      <c r="V32" s="89"/>
      <c r="W32" s="89"/>
      <c r="X32" s="89"/>
      <c r="Y32" s="89"/>
    </row>
    <row r="33" spans="2:43" x14ac:dyDescent="0.25">
      <c r="F33" s="23" t="s">
        <v>558</v>
      </c>
      <c r="G33" s="23" t="s">
        <v>277</v>
      </c>
      <c r="H33" s="101">
        <f>SUM(J33:Y33)</f>
        <v>821442458.03830409</v>
      </c>
      <c r="I33" s="23"/>
      <c r="J33" s="158">
        <f t="shared" ref="J33:Y33" si="3">J27 +J29</f>
        <v>608432351.44129002</v>
      </c>
      <c r="K33" s="158">
        <f t="shared" si="3"/>
        <v>0</v>
      </c>
      <c r="L33" s="158">
        <f t="shared" si="3"/>
        <v>130906157.00437801</v>
      </c>
      <c r="M33" s="158">
        <f t="shared" si="3"/>
        <v>0</v>
      </c>
      <c r="N33" s="158">
        <f t="shared" si="3"/>
        <v>21837334.87915263</v>
      </c>
      <c r="O33" s="158">
        <f t="shared" si="3"/>
        <v>523935.60163863347</v>
      </c>
      <c r="P33" s="158">
        <f t="shared" si="3"/>
        <v>0</v>
      </c>
      <c r="Q33" s="158">
        <f t="shared" si="3"/>
        <v>59742679.111844718</v>
      </c>
      <c r="R33" s="158">
        <f t="shared" si="3"/>
        <v>0</v>
      </c>
      <c r="S33" s="158">
        <f t="shared" si="3"/>
        <v>0</v>
      </c>
      <c r="T33" s="158">
        <f t="shared" si="3"/>
        <v>0</v>
      </c>
      <c r="U33" s="158">
        <f t="shared" si="3"/>
        <v>0</v>
      </c>
      <c r="V33" s="158">
        <f t="shared" si="3"/>
        <v>0</v>
      </c>
      <c r="W33" s="158">
        <f t="shared" si="3"/>
        <v>0</v>
      </c>
      <c r="X33" s="158">
        <f t="shared" si="3"/>
        <v>0</v>
      </c>
      <c r="Y33" s="158">
        <f t="shared" si="3"/>
        <v>0</v>
      </c>
    </row>
    <row r="34" spans="2:43" x14ac:dyDescent="0.25">
      <c r="F34" s="37" t="s">
        <v>559</v>
      </c>
      <c r="G34" s="37" t="s">
        <v>277</v>
      </c>
      <c r="H34" s="131">
        <f>SUM(J34:Y34)</f>
        <v>37080195.9970714</v>
      </c>
      <c r="I34" s="37"/>
      <c r="J34" s="167">
        <f t="shared" ref="J34:Y34" si="4">J28</f>
        <v>0</v>
      </c>
      <c r="K34" s="167">
        <f t="shared" si="4"/>
        <v>0</v>
      </c>
      <c r="L34" s="167">
        <f t="shared" si="4"/>
        <v>0</v>
      </c>
      <c r="M34" s="167">
        <f t="shared" si="4"/>
        <v>0</v>
      </c>
      <c r="N34" s="167">
        <f t="shared" si="4"/>
        <v>0</v>
      </c>
      <c r="O34" s="167">
        <f t="shared" si="4"/>
        <v>0</v>
      </c>
      <c r="P34" s="167">
        <f t="shared" si="4"/>
        <v>34152142.073708832</v>
      </c>
      <c r="Q34" s="167">
        <f t="shared" si="4"/>
        <v>0</v>
      </c>
      <c r="R34" s="167">
        <f t="shared" si="4"/>
        <v>0</v>
      </c>
      <c r="S34" s="167">
        <f t="shared" si="4"/>
        <v>0</v>
      </c>
      <c r="T34" s="167">
        <f t="shared" si="4"/>
        <v>0</v>
      </c>
      <c r="U34" s="167">
        <f t="shared" si="4"/>
        <v>0</v>
      </c>
      <c r="V34" s="167">
        <f t="shared" si="4"/>
        <v>0</v>
      </c>
      <c r="W34" s="167">
        <f t="shared" si="4"/>
        <v>0</v>
      </c>
      <c r="X34" s="167">
        <f t="shared" si="4"/>
        <v>2928053.9233625699</v>
      </c>
      <c r="Y34" s="167">
        <f t="shared" si="4"/>
        <v>0</v>
      </c>
    </row>
    <row r="36" spans="2:43" x14ac:dyDescent="0.25">
      <c r="B36" s="30" t="s">
        <v>231</v>
      </c>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C36" s="30"/>
      <c r="AD36" s="30"/>
      <c r="AE36" s="30"/>
      <c r="AF36" s="30"/>
      <c r="AG36" s="30"/>
      <c r="AH36" s="30"/>
      <c r="AI36" s="30"/>
      <c r="AJ36" s="30"/>
      <c r="AK36" s="30"/>
      <c r="AL36" s="30"/>
      <c r="AM36" s="30"/>
      <c r="AN36" s="30"/>
      <c r="AO36" s="30"/>
      <c r="AQ36" s="30"/>
    </row>
    <row r="38" spans="2:43" x14ac:dyDescent="0.25">
      <c r="E38" t="s">
        <v>232</v>
      </c>
      <c r="G38" s="6" t="s">
        <v>55</v>
      </c>
      <c r="H38" s="26">
        <f t="array" ref="H38">SUM(IF(ISERROR(H16:Y35), 1))</f>
        <v>0</v>
      </c>
    </row>
    <row r="40" spans="2:43" x14ac:dyDescent="0.25">
      <c r="B40" s="30" t="s">
        <v>106</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C40" s="30"/>
      <c r="AD40" s="30"/>
      <c r="AE40" s="30"/>
      <c r="AF40" s="30"/>
      <c r="AG40" s="30"/>
      <c r="AH40" s="30"/>
      <c r="AI40" s="30"/>
      <c r="AJ40" s="30"/>
      <c r="AK40" s="30"/>
      <c r="AL40" s="30"/>
      <c r="AM40" s="30"/>
      <c r="AN40" s="30"/>
      <c r="AO40" s="30"/>
      <c r="AQ40" s="30"/>
    </row>
  </sheetData>
  <sheetProtection sheet="1" objects="1" formatCells="0" formatColumns="0" formatRows="0" sort="0" autoFilter="0"/>
  <conditionalFormatting sqref="H38">
    <cfRule type="cellIs" dxfId="134" priority="17" operator="greaterThan">
      <formula>0</formula>
    </cfRule>
  </conditionalFormatting>
  <conditionalFormatting sqref="A4:I4 Z4:XFD4">
    <cfRule type="expression" dxfId="133" priority="9">
      <formula>LEFT($A$4,1) &lt;&gt; "0"</formula>
    </cfRule>
  </conditionalFormatting>
  <conditionalFormatting sqref="N4:P4">
    <cfRule type="expression" dxfId="132" priority="8">
      <formula>LEFT($A$4,1) &lt;&gt; "0"</formula>
    </cfRule>
  </conditionalFormatting>
  <conditionalFormatting sqref="L4:M4">
    <cfRule type="expression" dxfId="131" priority="7">
      <formula>LEFT($A$4,1) &lt;&gt; "0"</formula>
    </cfRule>
  </conditionalFormatting>
  <conditionalFormatting sqref="J4:K4">
    <cfRule type="expression" dxfId="130" priority="6">
      <formula>LEFT($A$4,1) &lt;&gt; "0"</formula>
    </cfRule>
  </conditionalFormatting>
  <conditionalFormatting sqref="Q4">
    <cfRule type="expression" dxfId="129" priority="5">
      <formula>LEFT($A$4,1) &lt;&gt; "0"</formula>
    </cfRule>
  </conditionalFormatting>
  <conditionalFormatting sqref="R4:S4">
    <cfRule type="expression" dxfId="128" priority="4">
      <formula>LEFT($A$4,1) &lt;&gt; "0"</formula>
    </cfRule>
  </conditionalFormatting>
  <conditionalFormatting sqref="T4:U4">
    <cfRule type="expression" dxfId="127" priority="3">
      <formula>LEFT($A$4,1) &lt;&gt; "0"</formula>
    </cfRule>
  </conditionalFormatting>
  <conditionalFormatting sqref="V4:W4">
    <cfRule type="expression" dxfId="126" priority="2">
      <formula>LEFT($A$4,1) &lt;&gt; "0"</formula>
    </cfRule>
  </conditionalFormatting>
  <conditionalFormatting sqref="X4:Y4">
    <cfRule type="expression" dxfId="125" priority="1">
      <formula>LEFT($A$4,1) &lt;&gt; "0"</formula>
    </cfRule>
  </conditionalFormatting>
  <dataValidations count="2">
    <dataValidation type="decimal" operator="greaterThanOrEqual" allowBlank="1" showInputMessage="1" showErrorMessage="1" errorTitle="Invalid volume data" error="Invalid volume data (negative number or unused cell)." sqref="R29:Y29 J29:P29 J16:Y17 J21:Y23">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7109375" hidden="1"/>
  </cols>
  <sheetData>
    <row r="1" spans="1:23" s="1" customFormat="1" x14ac:dyDescent="0.25">
      <c r="A1" s="1" t="str">
        <f ca="1">MID(CELL("filename",A1),FIND("]",CELL("filename",A1))+1,255)</f>
        <v>Unit costs</v>
      </c>
    </row>
    <row r="2" spans="1:23" s="1" customFormat="1" x14ac:dyDescent="0.25">
      <c r="A2" s="1" t="str">
        <f>Cover!D21&amp;" - "&amp;Cover!D23</f>
        <v>WPD East Midlands - April 21 Prices</v>
      </c>
    </row>
    <row r="3" spans="1:23" s="5" customFormat="1" x14ac:dyDescent="0.25">
      <c r="A3" s="5" t="str">
        <f>Cover!D2&amp;" - "&amp;Cover!D8&amp;" v"&amp;Cover!D10&amp;" - "&amp;Cover!D19</f>
        <v>CDCM charging model - Release for charge setting v5 - 2021/22</v>
      </c>
    </row>
    <row r="4" spans="1:23" x14ac:dyDescent="0.25">
      <c r="A4" s="12" t="str">
        <f>H131 &amp; IF(H131 = 1, " issue", " issues") &amp;" identified in checks on this sheet"</f>
        <v>0 issues identified in checks on this sheet</v>
      </c>
      <c r="B4" s="13"/>
      <c r="C4" s="13"/>
      <c r="D4" s="13"/>
      <c r="E4" s="13"/>
      <c r="F4" s="13"/>
      <c r="G4" s="13"/>
      <c r="H4" s="14"/>
      <c r="I4" s="14"/>
      <c r="J4" s="13"/>
    </row>
    <row r="5" spans="1:23" x14ac:dyDescent="0.25">
      <c r="B5" s="59" t="s">
        <v>142</v>
      </c>
      <c r="C5" s="60"/>
      <c r="D5" s="60"/>
      <c r="E5" s="60"/>
      <c r="F5" s="60"/>
      <c r="G5" s="61" t="s">
        <v>143</v>
      </c>
      <c r="H5" s="62" t="s">
        <v>144</v>
      </c>
      <c r="I5" s="113"/>
      <c r="J5" s="93" t="s">
        <v>189</v>
      </c>
      <c r="K5" s="114" t="s">
        <v>191</v>
      </c>
      <c r="L5" s="114" t="s">
        <v>192</v>
      </c>
      <c r="M5" s="114" t="s">
        <v>193</v>
      </c>
      <c r="N5" s="114" t="s">
        <v>194</v>
      </c>
      <c r="O5" s="114" t="s">
        <v>195</v>
      </c>
      <c r="P5" s="114" t="s">
        <v>196</v>
      </c>
      <c r="Q5" s="114" t="s">
        <v>197</v>
      </c>
      <c r="R5" s="114" t="s">
        <v>198</v>
      </c>
      <c r="S5" s="114" t="s">
        <v>199</v>
      </c>
      <c r="T5" s="114" t="s">
        <v>376</v>
      </c>
      <c r="U5" s="114" t="s">
        <v>377</v>
      </c>
      <c r="W5" s="60" t="s">
        <v>145</v>
      </c>
    </row>
    <row r="6" spans="1:23" x14ac:dyDescent="0.25">
      <c r="H6" s="3"/>
      <c r="I6" s="3"/>
      <c r="J6" s="3"/>
      <c r="K6" s="3"/>
      <c r="L6" s="3"/>
      <c r="M6" s="3"/>
      <c r="N6" s="3"/>
      <c r="O6" s="3"/>
      <c r="P6" s="3"/>
      <c r="Q6" s="3"/>
      <c r="R6" s="3"/>
      <c r="S6" s="3"/>
      <c r="T6" s="3"/>
      <c r="U6" s="3"/>
      <c r="W6" s="3"/>
    </row>
    <row r="7" spans="1:23" x14ac:dyDescent="0.25">
      <c r="B7" s="30" t="s">
        <v>10</v>
      </c>
      <c r="C7" s="30"/>
      <c r="D7" s="30"/>
      <c r="E7" s="30"/>
      <c r="F7" s="30"/>
      <c r="G7" s="30"/>
      <c r="H7" s="30"/>
      <c r="I7" s="30"/>
      <c r="J7" s="30"/>
      <c r="K7" s="30"/>
      <c r="L7" s="30"/>
      <c r="M7" s="30"/>
      <c r="N7" s="30"/>
      <c r="O7" s="30"/>
      <c r="P7" s="30"/>
      <c r="Q7" s="30"/>
      <c r="R7" s="30"/>
      <c r="S7" s="30"/>
      <c r="T7" s="30"/>
      <c r="U7" s="30"/>
      <c r="V7" s="30"/>
      <c r="W7" s="30"/>
    </row>
    <row r="9" spans="1:23" x14ac:dyDescent="0.25">
      <c r="C9" s="29" t="s">
        <v>560</v>
      </c>
      <c r="D9" s="29"/>
    </row>
    <row r="10" spans="1:23" x14ac:dyDescent="0.25">
      <c r="C10" s="29" t="s">
        <v>561</v>
      </c>
      <c r="D10" s="29"/>
    </row>
    <row r="11" spans="1:23" x14ac:dyDescent="0.25">
      <c r="C11" s="29"/>
      <c r="D11" s="29" t="s">
        <v>562</v>
      </c>
    </row>
    <row r="12" spans="1:23" x14ac:dyDescent="0.25">
      <c r="C12" s="29"/>
      <c r="D12" s="29" t="s">
        <v>563</v>
      </c>
    </row>
    <row r="13" spans="1:23" x14ac:dyDescent="0.25">
      <c r="C13" s="29" t="s">
        <v>564</v>
      </c>
      <c r="D13" s="29"/>
    </row>
    <row r="15" spans="1:23" x14ac:dyDescent="0.25">
      <c r="B15" s="30" t="s">
        <v>565</v>
      </c>
      <c r="C15" s="30"/>
      <c r="D15" s="30"/>
      <c r="E15" s="30"/>
      <c r="F15" s="30"/>
      <c r="G15" s="30"/>
      <c r="H15" s="30"/>
      <c r="I15" s="30"/>
      <c r="J15" s="30"/>
      <c r="K15" s="30"/>
      <c r="L15" s="30"/>
      <c r="M15" s="30"/>
      <c r="N15" s="30"/>
      <c r="O15" s="30"/>
      <c r="P15" s="30"/>
      <c r="Q15" s="30"/>
      <c r="R15" s="30"/>
      <c r="S15" s="30"/>
      <c r="T15" s="30"/>
      <c r="U15" s="30"/>
      <c r="V15" s="30"/>
      <c r="W15" s="30"/>
    </row>
    <row r="16" spans="1:23" x14ac:dyDescent="0.25">
      <c r="H16" s="3"/>
      <c r="I16" s="3"/>
      <c r="J16" s="3"/>
      <c r="K16" s="3"/>
      <c r="L16" s="3"/>
      <c r="M16" s="3"/>
      <c r="N16" s="3"/>
      <c r="O16" s="3"/>
      <c r="P16" s="3"/>
      <c r="Q16" s="3"/>
      <c r="R16" s="3"/>
      <c r="S16" s="3"/>
      <c r="T16" s="3"/>
      <c r="U16" s="3"/>
      <c r="W16" s="3"/>
    </row>
    <row r="17" spans="3:25" x14ac:dyDescent="0.25">
      <c r="C17" s="29" t="s">
        <v>566</v>
      </c>
    </row>
    <row r="18" spans="3:25" x14ac:dyDescent="0.25">
      <c r="H18" s="3"/>
      <c r="I18" s="3"/>
      <c r="J18" s="3"/>
      <c r="K18" s="3"/>
      <c r="L18" s="3"/>
      <c r="M18" s="3"/>
      <c r="N18" s="3"/>
      <c r="O18" s="3"/>
      <c r="P18" s="3"/>
      <c r="Q18" s="3"/>
      <c r="R18" s="3"/>
      <c r="S18" s="3"/>
      <c r="T18" s="3"/>
      <c r="U18" s="3"/>
      <c r="W18" s="3"/>
    </row>
    <row r="19" spans="3:25" x14ac:dyDescent="0.25">
      <c r="C19" s="31" t="str">
        <f ca="1">INDEX('Version control'!$H$34:$H$57,MATCH($A$1,'Version control'!$F$34:$F$57,0),1)&amp;"-A: Financial data"</f>
        <v>Section 108-A: Financial data</v>
      </c>
      <c r="D19" s="31"/>
      <c r="E19" s="31"/>
      <c r="F19" s="31"/>
      <c r="G19" s="31"/>
      <c r="H19" s="175"/>
      <c r="I19" s="175"/>
      <c r="J19" s="175"/>
      <c r="K19" s="175"/>
      <c r="L19" s="175"/>
      <c r="M19" s="175"/>
      <c r="N19" s="175"/>
      <c r="O19" s="175"/>
      <c r="P19" s="175"/>
      <c r="Q19" s="175"/>
      <c r="R19" s="175"/>
      <c r="S19" s="175"/>
      <c r="T19" s="175"/>
      <c r="U19" s="175"/>
      <c r="V19" s="31"/>
      <c r="W19" s="175"/>
    </row>
    <row r="20" spans="3:25" x14ac:dyDescent="0.25">
      <c r="H20" s="3"/>
    </row>
    <row r="21" spans="3:25" x14ac:dyDescent="0.25">
      <c r="D21" s="29" t="s">
        <v>567</v>
      </c>
      <c r="I21" s="3" t="s">
        <v>154</v>
      </c>
      <c r="J21" s="3"/>
      <c r="K21" s="3"/>
      <c r="L21" s="3"/>
      <c r="M21" s="3"/>
      <c r="N21" s="3"/>
      <c r="O21" s="3"/>
      <c r="P21" s="3"/>
      <c r="Q21" s="3"/>
      <c r="R21" s="3"/>
      <c r="S21" s="3"/>
      <c r="T21" s="3"/>
      <c r="U21" s="3"/>
      <c r="W21" s="3" t="s">
        <v>165</v>
      </c>
    </row>
    <row r="22" spans="3:25" x14ac:dyDescent="0.25">
      <c r="D22" s="29"/>
    </row>
    <row r="23" spans="3:25" x14ac:dyDescent="0.25">
      <c r="D23" s="88"/>
      <c r="E23" s="28" t="s">
        <v>353</v>
      </c>
      <c r="G23" s="28" t="s">
        <v>167</v>
      </c>
      <c r="H23" s="116">
        <f>'General inputs'!H91</f>
        <v>3.4099999999999998E-2</v>
      </c>
      <c r="I23" s="3"/>
      <c r="J23" s="3"/>
      <c r="K23" s="3"/>
      <c r="L23" s="3"/>
      <c r="M23" s="3"/>
      <c r="N23" s="3"/>
      <c r="O23" s="3"/>
      <c r="P23" s="3"/>
      <c r="Q23" s="3"/>
      <c r="R23" s="3"/>
      <c r="S23" s="3"/>
      <c r="T23" s="3"/>
      <c r="U23" s="3"/>
    </row>
    <row r="24" spans="3:25" x14ac:dyDescent="0.25">
      <c r="D24" s="88"/>
      <c r="E24" s="28" t="s">
        <v>163</v>
      </c>
      <c r="G24" s="28" t="s">
        <v>164</v>
      </c>
      <c r="H24" s="52">
        <f>'Fixed inputs'!H35</f>
        <v>40</v>
      </c>
      <c r="I24" s="3"/>
      <c r="J24" s="3"/>
      <c r="K24" s="3"/>
      <c r="L24" s="3"/>
      <c r="M24" s="3"/>
      <c r="N24" s="3"/>
      <c r="O24" s="3"/>
      <c r="P24" s="3"/>
      <c r="Q24" s="3"/>
      <c r="R24" s="3"/>
      <c r="S24" s="3"/>
      <c r="T24" s="3"/>
      <c r="U24" s="3"/>
      <c r="W24" s="3"/>
    </row>
    <row r="25" spans="3:25" x14ac:dyDescent="0.25">
      <c r="E25" s="28" t="s">
        <v>568</v>
      </c>
      <c r="G25" s="28" t="s">
        <v>167</v>
      </c>
      <c r="H25" s="176">
        <f>H23 / (1 - (1 + H23) ^ -H24)</f>
        <v>4.6175686729760558E-2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31" t="str">
        <f ca="1">INDEX('Version control'!$H$34:$H$57,MATCH($A$1,'Version control'!$F$34:$F$57,0),1)&amp;"-B: Diversity and loss adjustment factors"</f>
        <v>Section 108-B: Diversity and loss adjustment factors</v>
      </c>
      <c r="D27" s="31"/>
      <c r="E27" s="31"/>
      <c r="F27" s="31"/>
      <c r="G27" s="31"/>
      <c r="H27" s="175"/>
      <c r="I27" s="175"/>
      <c r="J27" s="175"/>
      <c r="K27" s="175"/>
      <c r="L27" s="175"/>
      <c r="M27" s="175"/>
      <c r="N27" s="175"/>
      <c r="O27" s="175"/>
      <c r="P27" s="175"/>
      <c r="Q27" s="175"/>
      <c r="R27" s="175"/>
      <c r="S27" s="175"/>
      <c r="T27" s="175"/>
      <c r="U27" s="175"/>
      <c r="V27" s="31"/>
      <c r="W27" s="175"/>
    </row>
    <row r="28" spans="3:25" x14ac:dyDescent="0.25">
      <c r="E28" s="32"/>
      <c r="F28" s="115"/>
      <c r="H28" s="3"/>
      <c r="I28" s="3"/>
      <c r="J28" s="3"/>
      <c r="K28" s="3"/>
      <c r="L28" s="3"/>
      <c r="M28" s="3"/>
      <c r="N28" s="3"/>
      <c r="O28" s="3"/>
      <c r="P28" s="3"/>
      <c r="Q28" s="3"/>
      <c r="R28" s="3"/>
      <c r="S28" s="3"/>
      <c r="T28" s="3"/>
      <c r="U28" s="3"/>
    </row>
    <row r="29" spans="3:25" x14ac:dyDescent="0.25">
      <c r="D29" s="29" t="s">
        <v>569</v>
      </c>
      <c r="F29" s="115"/>
      <c r="H29" s="3"/>
      <c r="I29" s="3"/>
      <c r="J29" s="3"/>
      <c r="K29" s="3"/>
      <c r="L29" s="3"/>
      <c r="M29" s="3"/>
      <c r="N29" s="3"/>
      <c r="O29" s="3"/>
      <c r="P29" s="3"/>
      <c r="Q29" s="3"/>
      <c r="R29" s="3"/>
      <c r="S29" s="3"/>
      <c r="T29" s="3"/>
      <c r="U29" s="3"/>
    </row>
    <row r="30" spans="3:25" x14ac:dyDescent="0.25">
      <c r="D30" s="29"/>
      <c r="F30" s="115"/>
      <c r="H30" s="3"/>
      <c r="I30" s="3"/>
      <c r="J30" s="3"/>
      <c r="K30" s="3"/>
      <c r="L30" s="3"/>
      <c r="M30" s="3"/>
      <c r="N30" s="3"/>
      <c r="O30" s="3"/>
      <c r="P30" s="3"/>
      <c r="Q30" s="3"/>
      <c r="R30" s="3"/>
      <c r="S30" s="3"/>
      <c r="T30" s="3"/>
      <c r="U30" s="3"/>
    </row>
    <row r="31" spans="3:25" x14ac:dyDescent="0.25">
      <c r="E31" t="s">
        <v>570</v>
      </c>
      <c r="F31" s="119"/>
      <c r="G31" s="28" t="s">
        <v>571</v>
      </c>
      <c r="H31" s="3"/>
      <c r="I31" s="3"/>
      <c r="J31" s="79"/>
      <c r="K31" s="120">
        <f>'Load &amp; loss characteristics'!K29</f>
        <v>1</v>
      </c>
      <c r="L31" s="120">
        <f>'Load &amp; loss characteristics'!L29</f>
        <v>1.0029999999999999</v>
      </c>
      <c r="M31" s="120">
        <f>'Load &amp; loss characteristics'!M29</f>
        <v>1.006</v>
      </c>
      <c r="N31" s="120">
        <f>'Load &amp; loss characteristics'!N29</f>
        <v>1.014</v>
      </c>
      <c r="O31" s="120">
        <f>'Load &amp; loss characteristics'!O29</f>
        <v>1.02</v>
      </c>
      <c r="P31" s="120">
        <f>'Load &amp; loss characteristics'!P29</f>
        <v>1.02</v>
      </c>
      <c r="Q31" s="120">
        <f>'Load &amp; loss characteristics'!Q29</f>
        <v>1.036</v>
      </c>
      <c r="R31" s="120">
        <f>'Load &amp; loss characteristics'!R29</f>
        <v>1.0469999999999999</v>
      </c>
      <c r="S31" s="120">
        <f>'Load &amp; loss characteristics'!S29</f>
        <v>1.0780000000000001</v>
      </c>
      <c r="T31" s="79"/>
      <c r="U31" s="79"/>
    </row>
    <row r="32" spans="3:25" x14ac:dyDescent="0.25">
      <c r="E32" t="s">
        <v>572</v>
      </c>
      <c r="F32" s="177"/>
      <c r="G32" s="28" t="s">
        <v>167</v>
      </c>
      <c r="H32" s="3"/>
      <c r="I32" s="3"/>
      <c r="J32" s="178"/>
      <c r="K32" s="179">
        <f>'Load &amp; loss characteristics'!$K$23</f>
        <v>2.4713742436156094E-2</v>
      </c>
      <c r="L32" s="180"/>
      <c r="M32" s="180"/>
      <c r="N32" s="180"/>
      <c r="O32" s="180"/>
      <c r="P32" s="178"/>
      <c r="Q32" s="180"/>
      <c r="R32" s="180"/>
      <c r="S32" s="180"/>
      <c r="T32" s="178"/>
      <c r="U32" s="178"/>
      <c r="Y32" s="181"/>
    </row>
    <row r="33" spans="3:23" x14ac:dyDescent="0.25">
      <c r="E33" t="s">
        <v>573</v>
      </c>
      <c r="F33" s="119"/>
      <c r="G33" s="28" t="s">
        <v>167</v>
      </c>
      <c r="H33" s="3"/>
      <c r="I33" s="3"/>
      <c r="J33" s="70"/>
      <c r="K33" s="176">
        <f xml:space="preserve"> 1 / (1 + K32)</f>
        <v>0.97588229628168977</v>
      </c>
      <c r="L33" s="180"/>
      <c r="M33" s="180"/>
      <c r="N33" s="180"/>
      <c r="O33" s="180"/>
      <c r="P33" s="180"/>
      <c r="Q33" s="180"/>
      <c r="R33" s="180"/>
      <c r="S33" s="180"/>
      <c r="T33" s="178"/>
      <c r="U33" s="178"/>
      <c r="W33" s="3"/>
    </row>
    <row r="34" spans="3:23" x14ac:dyDescent="0.25">
      <c r="F34" s="119"/>
      <c r="G34" s="28"/>
      <c r="H34" s="3"/>
      <c r="I34" s="3"/>
      <c r="J34" s="3"/>
      <c r="K34" s="3"/>
      <c r="L34" s="3"/>
      <c r="M34" s="3"/>
      <c r="N34" s="3"/>
      <c r="O34" s="3"/>
      <c r="P34" s="3"/>
      <c r="Q34" s="3"/>
      <c r="R34" s="3"/>
      <c r="S34" s="3"/>
      <c r="T34" s="3"/>
      <c r="U34" s="3"/>
      <c r="V34" s="3"/>
      <c r="W34" s="3"/>
    </row>
    <row r="35" spans="3:23" x14ac:dyDescent="0.25">
      <c r="C35" s="31" t="str">
        <f ca="1">INDEX('Version control'!$H$34:$H$57,MATCH($A$1,'Version control'!$F$34:$F$57,0),1)&amp;"-C: Maximum demand"</f>
        <v>Section 108-C: Maximum demand</v>
      </c>
      <c r="D35" s="31"/>
      <c r="E35" s="31"/>
      <c r="F35" s="31"/>
      <c r="G35" s="31"/>
      <c r="H35" s="175"/>
      <c r="I35" s="175"/>
      <c r="J35" s="175"/>
      <c r="K35" s="175"/>
      <c r="L35" s="175"/>
      <c r="M35" s="175"/>
      <c r="N35" s="175"/>
      <c r="O35" s="175"/>
      <c r="P35" s="175"/>
      <c r="Q35" s="175"/>
      <c r="R35" s="175"/>
      <c r="S35" s="175"/>
      <c r="T35" s="175"/>
      <c r="U35" s="175"/>
      <c r="V35" s="31"/>
      <c r="W35" s="175"/>
    </row>
    <row r="36" spans="3:23" x14ac:dyDescent="0.25">
      <c r="E36" s="32"/>
      <c r="F36" s="115"/>
      <c r="H36" s="3"/>
      <c r="J36" s="3"/>
      <c r="K36" s="3"/>
      <c r="L36" s="3"/>
      <c r="M36" s="3"/>
      <c r="N36" s="3"/>
      <c r="O36" s="3"/>
      <c r="P36" s="3"/>
      <c r="Q36" s="3"/>
      <c r="R36" s="3"/>
      <c r="S36" s="3"/>
      <c r="T36" s="3"/>
      <c r="U36" s="3"/>
    </row>
    <row r="37" spans="3:23" x14ac:dyDescent="0.25">
      <c r="D37" s="29" t="s">
        <v>574</v>
      </c>
      <c r="F37" s="115"/>
      <c r="H37" s="3"/>
      <c r="I37" s="3"/>
      <c r="J37" s="3"/>
      <c r="K37" s="3"/>
      <c r="L37" s="3"/>
      <c r="M37" s="3"/>
      <c r="N37" s="3"/>
      <c r="O37" s="3"/>
      <c r="P37" s="3"/>
      <c r="Q37" s="3"/>
      <c r="R37" s="3"/>
      <c r="S37" s="3"/>
      <c r="T37" s="3"/>
      <c r="U37" s="3"/>
      <c r="W37" s="3"/>
    </row>
    <row r="38" spans="3:23" x14ac:dyDescent="0.25">
      <c r="D38" s="29"/>
      <c r="F38" s="115"/>
      <c r="H38" s="3"/>
      <c r="I38" s="3"/>
      <c r="J38" s="3"/>
      <c r="K38" s="3"/>
      <c r="L38" s="3"/>
      <c r="M38" s="3"/>
      <c r="N38" s="3"/>
      <c r="O38" s="3"/>
      <c r="P38" s="3"/>
      <c r="Q38" s="3"/>
      <c r="R38" s="3"/>
      <c r="S38" s="3"/>
      <c r="T38" s="3"/>
      <c r="U38" s="3"/>
      <c r="W38" s="3"/>
    </row>
    <row r="39" spans="3:23" x14ac:dyDescent="0.25">
      <c r="D39" s="88"/>
      <c r="E39" t="s">
        <v>171</v>
      </c>
      <c r="F39" s="119"/>
      <c r="G39" s="28" t="s">
        <v>172</v>
      </c>
      <c r="H39" s="120">
        <f>'Fixed inputs'!H41</f>
        <v>500</v>
      </c>
      <c r="I39" s="3"/>
      <c r="J39" s="79"/>
      <c r="K39" s="79"/>
      <c r="L39" s="79"/>
      <c r="M39" s="79"/>
      <c r="N39" s="79"/>
      <c r="O39" s="79"/>
      <c r="P39" s="79"/>
      <c r="Q39" s="79"/>
      <c r="R39" s="79"/>
      <c r="S39" s="79"/>
      <c r="T39" s="79"/>
      <c r="U39" s="79"/>
      <c r="W39" s="3"/>
    </row>
    <row r="40" spans="3:23" x14ac:dyDescent="0.25">
      <c r="E40" t="s">
        <v>575</v>
      </c>
      <c r="F40" s="119"/>
      <c r="G40" s="28" t="s">
        <v>172</v>
      </c>
      <c r="H40" s="3"/>
      <c r="I40" s="3" t="s">
        <v>154</v>
      </c>
      <c r="J40" s="79"/>
      <c r="K40" s="182">
        <f t="shared" ref="K40:S40" si="0">$H$39 * $K$33 / K31</f>
        <v>487.94114814084486</v>
      </c>
      <c r="L40" s="182">
        <f t="shared" si="0"/>
        <v>486.48170303174965</v>
      </c>
      <c r="M40" s="182">
        <f t="shared" si="0"/>
        <v>485.03096236664499</v>
      </c>
      <c r="N40" s="182">
        <f t="shared" si="0"/>
        <v>481.20428810734205</v>
      </c>
      <c r="O40" s="182">
        <f t="shared" si="0"/>
        <v>478.37367464788713</v>
      </c>
      <c r="P40" s="182">
        <f t="shared" si="0"/>
        <v>478.37367464788713</v>
      </c>
      <c r="Q40" s="182">
        <f t="shared" si="0"/>
        <v>470.98566422861472</v>
      </c>
      <c r="R40" s="182">
        <f t="shared" si="0"/>
        <v>466.03739077444595</v>
      </c>
      <c r="S40" s="182">
        <f t="shared" si="0"/>
        <v>452.63557341451281</v>
      </c>
      <c r="T40" s="79"/>
      <c r="U40" s="79"/>
      <c r="W40" s="3" t="s">
        <v>576</v>
      </c>
    </row>
    <row r="41" spans="3:23" x14ac:dyDescent="0.25">
      <c r="F41" s="119"/>
      <c r="G41" s="28"/>
      <c r="H41" s="3"/>
      <c r="I41" s="3"/>
      <c r="J41" s="3"/>
      <c r="K41" s="3"/>
      <c r="L41" s="3"/>
      <c r="M41" s="3"/>
      <c r="N41" s="3"/>
      <c r="O41" s="3"/>
      <c r="P41" s="3"/>
      <c r="Q41" s="3"/>
      <c r="R41" s="3"/>
      <c r="S41" s="3"/>
      <c r="T41" s="3"/>
      <c r="U41" s="3"/>
      <c r="V41" s="3"/>
      <c r="W41" s="3"/>
    </row>
    <row r="42" spans="3:23" x14ac:dyDescent="0.25">
      <c r="C42" s="31" t="str">
        <f ca="1">INDEX('Version control'!$H$34:$H$57,MATCH($A$1,'Version control'!$F$34:$F$57,0),1)&amp;"-D: Rerouting matrix"</f>
        <v>Section 108-D: Rerouting matrix</v>
      </c>
      <c r="D42" s="31"/>
      <c r="E42" s="31"/>
      <c r="F42" s="31"/>
      <c r="G42" s="31"/>
      <c r="H42" s="175"/>
      <c r="I42" s="175"/>
      <c r="J42" s="175"/>
      <c r="K42" s="175"/>
      <c r="L42" s="175"/>
      <c r="M42" s="175"/>
      <c r="N42" s="175"/>
      <c r="O42" s="175"/>
      <c r="P42" s="175"/>
      <c r="Q42" s="175"/>
      <c r="R42" s="175"/>
      <c r="S42" s="175"/>
      <c r="T42" s="175"/>
      <c r="U42" s="175"/>
      <c r="V42" s="31"/>
      <c r="W42" s="175"/>
    </row>
    <row r="43" spans="3:23" x14ac:dyDescent="0.25">
      <c r="E43" s="32"/>
      <c r="F43" s="115"/>
      <c r="H43" s="3"/>
      <c r="I43" s="3"/>
      <c r="J43" s="3"/>
      <c r="K43" s="3"/>
      <c r="L43" s="3"/>
      <c r="M43" s="3"/>
      <c r="N43" s="3"/>
      <c r="O43" s="3"/>
      <c r="P43" s="3"/>
      <c r="Q43" s="3"/>
      <c r="R43" s="3"/>
      <c r="S43" s="3"/>
      <c r="T43" s="3"/>
      <c r="U43" s="3"/>
      <c r="W43" s="3"/>
    </row>
    <row r="44" spans="3:23" x14ac:dyDescent="0.25">
      <c r="D44" s="29" t="s">
        <v>577</v>
      </c>
      <c r="F44" s="115"/>
      <c r="H44" s="3"/>
      <c r="I44" s="3"/>
      <c r="J44" s="3"/>
      <c r="K44" s="3"/>
      <c r="L44" s="3"/>
      <c r="M44" s="3"/>
      <c r="N44" s="3"/>
      <c r="O44" s="3"/>
      <c r="P44" s="3"/>
      <c r="Q44" s="3"/>
      <c r="R44" s="3"/>
      <c r="S44" s="3"/>
      <c r="T44" s="3"/>
      <c r="U44" s="3"/>
      <c r="W44" s="3"/>
    </row>
    <row r="45" spans="3:23" x14ac:dyDescent="0.25">
      <c r="D45" s="29"/>
      <c r="F45" s="115"/>
      <c r="H45" s="3"/>
      <c r="I45" s="3"/>
      <c r="J45" s="3"/>
      <c r="K45" s="3"/>
      <c r="L45" s="3"/>
      <c r="M45" s="3"/>
      <c r="N45" s="3"/>
      <c r="O45" s="3"/>
      <c r="P45" s="3"/>
      <c r="Q45" s="3"/>
      <c r="R45" s="3"/>
      <c r="S45" s="3"/>
      <c r="T45" s="3"/>
      <c r="U45" s="3"/>
      <c r="W45" s="3"/>
    </row>
    <row r="46" spans="3:23" x14ac:dyDescent="0.25">
      <c r="D46" s="88"/>
      <c r="E46" s="28" t="s">
        <v>281</v>
      </c>
      <c r="G46" s="28" t="s">
        <v>167</v>
      </c>
      <c r="H46" s="3"/>
      <c r="I46" s="3"/>
      <c r="J46" s="180"/>
      <c r="K46" s="180"/>
      <c r="L46" s="180"/>
      <c r="M46" s="180"/>
      <c r="N46" s="180"/>
      <c r="O46" s="180"/>
      <c r="P46" s="179">
        <f>'Inputs by network level'!P17</f>
        <v>7.5044342711319545E-2</v>
      </c>
      <c r="Q46" s="180"/>
      <c r="R46" s="180"/>
      <c r="S46" s="180"/>
      <c r="T46" s="180"/>
      <c r="U46" s="180"/>
      <c r="W46" s="3"/>
    </row>
    <row r="47" spans="3:23" x14ac:dyDescent="0.25">
      <c r="E47" s="28" t="s">
        <v>578</v>
      </c>
      <c r="G47" s="28" t="s">
        <v>167</v>
      </c>
      <c r="H47" s="3"/>
      <c r="I47" s="3"/>
      <c r="J47" s="180"/>
      <c r="K47" s="180"/>
      <c r="L47" s="180"/>
      <c r="M47" s="176">
        <f>IF(M46 = "", 1 - $P$46, M46)</f>
        <v>0.92495565728868046</v>
      </c>
      <c r="N47" s="176">
        <f>IF(N46 = "", 1 - $P$46, N46)</f>
        <v>0.92495565728868046</v>
      </c>
      <c r="O47" s="176">
        <f>IF(O46 = "", 1 - $P$46, O46)</f>
        <v>0.92495565728868046</v>
      </c>
      <c r="P47" s="176">
        <f>IF(P46 = "", 1 - $P$46, P46)</f>
        <v>7.5044342711319545E-2</v>
      </c>
      <c r="Q47" s="180"/>
      <c r="R47" s="180"/>
      <c r="S47" s="180"/>
      <c r="T47" s="180"/>
      <c r="U47" s="180"/>
      <c r="W47" s="3"/>
    </row>
    <row r="48" spans="3:23" x14ac:dyDescent="0.25">
      <c r="E48" s="28" t="s">
        <v>579</v>
      </c>
      <c r="G48" s="28" t="s">
        <v>172</v>
      </c>
      <c r="H48" s="3"/>
      <c r="I48" s="3"/>
      <c r="J48" s="79"/>
      <c r="K48" s="98">
        <f t="shared" ref="K48:S48" si="1">IF(K47 = "", K40, K47 * K40)</f>
        <v>487.94114814084486</v>
      </c>
      <c r="L48" s="98">
        <f t="shared" si="1"/>
        <v>486.48170303174965</v>
      </c>
      <c r="M48" s="98">
        <f t="shared" si="1"/>
        <v>448.63213260120136</v>
      </c>
      <c r="N48" s="98">
        <f t="shared" si="1"/>
        <v>445.09262859645816</v>
      </c>
      <c r="O48" s="98">
        <f t="shared" si="1"/>
        <v>442.4744366635378</v>
      </c>
      <c r="P48" s="98">
        <f t="shared" si="1"/>
        <v>35.899237984349313</v>
      </c>
      <c r="Q48" s="98">
        <f t="shared" si="1"/>
        <v>470.98566422861472</v>
      </c>
      <c r="R48" s="98">
        <f t="shared" si="1"/>
        <v>466.03739077444595</v>
      </c>
      <c r="S48" s="98">
        <f t="shared" si="1"/>
        <v>452.63557341451281</v>
      </c>
      <c r="T48" s="79"/>
      <c r="U48" s="79"/>
      <c r="W48" s="3"/>
    </row>
    <row r="49" spans="2:23" x14ac:dyDescent="0.25">
      <c r="E49" s="28"/>
      <c r="G49" s="28"/>
      <c r="H49" s="3"/>
      <c r="I49" s="3"/>
      <c r="J49" s="3"/>
      <c r="K49" s="3"/>
      <c r="L49" s="3"/>
      <c r="M49" s="3"/>
      <c r="N49" s="3"/>
      <c r="O49" s="3"/>
      <c r="P49" s="3"/>
      <c r="Q49" s="3"/>
      <c r="R49" s="3"/>
      <c r="S49" s="3"/>
      <c r="T49" s="3"/>
      <c r="U49" s="3"/>
      <c r="V49" s="3"/>
      <c r="W49" s="3"/>
    </row>
    <row r="50" spans="2:23" x14ac:dyDescent="0.25">
      <c r="C50" s="31" t="str">
        <f ca="1">INDEX('Version control'!$H$34:$H$57,MATCH($A$1,'Version control'!$F$34:$F$57,0),1)&amp;"-E: Annuitised cost of assets"</f>
        <v>Section 108-E: Annuitised cost of assets</v>
      </c>
      <c r="D50" s="31"/>
      <c r="E50" s="31"/>
      <c r="F50" s="31"/>
      <c r="G50" s="31"/>
      <c r="H50" s="175"/>
      <c r="I50" s="175"/>
      <c r="J50" s="175"/>
      <c r="K50" s="175"/>
      <c r="L50" s="175"/>
      <c r="M50" s="175"/>
      <c r="N50" s="175"/>
      <c r="O50" s="175"/>
      <c r="P50" s="175"/>
      <c r="Q50" s="175"/>
      <c r="R50" s="175"/>
      <c r="S50" s="175"/>
      <c r="T50" s="175"/>
      <c r="U50" s="175"/>
      <c r="V50" s="31"/>
      <c r="W50" s="175"/>
    </row>
    <row r="51" spans="2:23" x14ac:dyDescent="0.25">
      <c r="E51" s="32"/>
      <c r="F51" s="115"/>
      <c r="H51" s="3"/>
      <c r="J51" s="3"/>
      <c r="K51" s="3"/>
      <c r="L51" s="113"/>
      <c r="M51" s="113"/>
      <c r="N51" s="113"/>
      <c r="O51" s="113"/>
      <c r="P51" s="113"/>
      <c r="Q51" s="113"/>
      <c r="R51" s="113"/>
      <c r="S51" s="113"/>
      <c r="T51" s="113"/>
      <c r="U51" s="183"/>
    </row>
    <row r="52" spans="2:23" x14ac:dyDescent="0.25">
      <c r="D52" s="29" t="s">
        <v>580</v>
      </c>
      <c r="F52" s="115"/>
      <c r="H52" s="3"/>
      <c r="I52" s="3"/>
      <c r="J52" s="3"/>
      <c r="K52" s="3"/>
      <c r="L52" s="113"/>
      <c r="M52" s="113"/>
      <c r="N52" s="113"/>
      <c r="O52" s="113"/>
      <c r="P52" s="113"/>
      <c r="Q52" s="113"/>
      <c r="R52" s="113"/>
      <c r="S52" s="113"/>
      <c r="T52" s="113"/>
      <c r="U52" s="183"/>
    </row>
    <row r="53" spans="2:23" x14ac:dyDescent="0.25">
      <c r="D53" s="29"/>
      <c r="F53" s="115"/>
      <c r="H53" s="3"/>
      <c r="I53" s="3"/>
      <c r="J53" s="3"/>
      <c r="K53" s="3"/>
      <c r="L53" s="113"/>
      <c r="M53" s="113"/>
      <c r="N53" s="113"/>
      <c r="O53" s="113"/>
      <c r="P53" s="113"/>
      <c r="Q53" s="113"/>
      <c r="R53" s="113"/>
      <c r="S53" s="113"/>
      <c r="T53" s="113"/>
      <c r="U53" s="183"/>
    </row>
    <row r="54" spans="2:23" x14ac:dyDescent="0.25">
      <c r="E54" t="s">
        <v>581</v>
      </c>
      <c r="F54" s="177"/>
      <c r="G54" s="28" t="s">
        <v>277</v>
      </c>
      <c r="H54" s="3"/>
      <c r="I54" s="3"/>
      <c r="J54" s="79"/>
      <c r="K54" s="79"/>
      <c r="L54" s="120">
        <f>'Inputs by network level'!L33</f>
        <v>55914776.241728738</v>
      </c>
      <c r="M54" s="120">
        <f>'Inputs by network level'!M33</f>
        <v>29214948.847280525</v>
      </c>
      <c r="N54" s="120">
        <f>'Inputs by network level'!N33</f>
        <v>36091113.731190622</v>
      </c>
      <c r="O54" s="120">
        <f>'Inputs by network level'!O33</f>
        <v>58060293.782278933</v>
      </c>
      <c r="P54" s="120">
        <f>'Inputs by network level'!P33</f>
        <v>4889083.6754327994</v>
      </c>
      <c r="Q54" s="120">
        <f>'Inputs by network level'!Q33</f>
        <v>133760976.37712824</v>
      </c>
      <c r="R54" s="120">
        <f>'Inputs by network level'!R33</f>
        <v>61229373.393868513</v>
      </c>
      <c r="S54" s="120">
        <f>'Inputs by network level'!S33</f>
        <v>122042790.63564707</v>
      </c>
      <c r="T54" s="79"/>
      <c r="U54" s="79"/>
      <c r="W54" s="3"/>
    </row>
    <row r="55" spans="2:23" x14ac:dyDescent="0.25">
      <c r="E55" t="s">
        <v>582</v>
      </c>
      <c r="F55" s="177"/>
      <c r="G55" s="28" t="s">
        <v>583</v>
      </c>
      <c r="H55" s="3"/>
      <c r="I55" s="3"/>
      <c r="J55" s="79"/>
      <c r="K55" s="79"/>
      <c r="L55" s="98">
        <f t="shared" ref="L55:S55" si="2">IF(L48 = 0, 0, L54 / (L48 * thousand))</f>
        <v>114.93705907800509</v>
      </c>
      <c r="M55" s="98">
        <f t="shared" si="2"/>
        <v>65.120054325779449</v>
      </c>
      <c r="N55" s="98">
        <f t="shared" si="2"/>
        <v>81.086747819210714</v>
      </c>
      <c r="O55" s="98">
        <f t="shared" si="2"/>
        <v>131.21728391832178</v>
      </c>
      <c r="P55" s="98">
        <f t="shared" si="2"/>
        <v>136.18906556078576</v>
      </c>
      <c r="Q55" s="98">
        <f t="shared" si="2"/>
        <v>284.00222456070588</v>
      </c>
      <c r="R55" s="98">
        <f t="shared" si="2"/>
        <v>131.38296326850408</v>
      </c>
      <c r="S55" s="98">
        <f t="shared" si="2"/>
        <v>269.62704171703098</v>
      </c>
      <c r="T55" s="79"/>
      <c r="U55" s="79"/>
      <c r="W55" s="3"/>
    </row>
    <row r="56" spans="2:23" x14ac:dyDescent="0.25">
      <c r="E56" t="s">
        <v>584</v>
      </c>
      <c r="F56" s="177"/>
      <c r="G56" s="28" t="s">
        <v>585</v>
      </c>
      <c r="H56" s="3"/>
      <c r="I56" s="3" t="s">
        <v>154</v>
      </c>
      <c r="J56" s="79"/>
      <c r="K56" s="79"/>
      <c r="L56" s="98">
        <f t="shared" ref="L56:S56" si="3">L55 * $H$25</f>
        <v>5.3072976336259448</v>
      </c>
      <c r="M56" s="98">
        <f t="shared" si="3"/>
        <v>3.0069632283721806</v>
      </c>
      <c r="N56" s="98">
        <f t="shared" si="3"/>
        <v>3.744236265234969</v>
      </c>
      <c r="O56" s="98">
        <f t="shared" si="3"/>
        <v>6.0590481957424744</v>
      </c>
      <c r="P56" s="98">
        <f t="shared" si="3"/>
        <v>6.2886236273536662</v>
      </c>
      <c r="Q56" s="98">
        <f t="shared" si="3"/>
        <v>13.113997751870265</v>
      </c>
      <c r="R56" s="98">
        <f t="shared" si="3"/>
        <v>6.0666985535140832</v>
      </c>
      <c r="S56" s="98">
        <f t="shared" si="3"/>
        <v>12.450213812197704</v>
      </c>
      <c r="T56" s="79"/>
      <c r="U56" s="79"/>
      <c r="W56" s="3" t="s">
        <v>586</v>
      </c>
    </row>
    <row r="57" spans="2:23" x14ac:dyDescent="0.25">
      <c r="H57" s="3"/>
      <c r="I57" s="3"/>
      <c r="J57" s="127"/>
      <c r="K57" s="127"/>
      <c r="L57" s="127"/>
      <c r="M57" s="127"/>
      <c r="N57" s="127"/>
      <c r="O57" s="127"/>
      <c r="P57" s="127"/>
      <c r="Q57" s="127"/>
      <c r="R57" s="127"/>
      <c r="S57" s="127"/>
      <c r="T57" s="127"/>
      <c r="U57" s="127"/>
      <c r="W57" s="3"/>
    </row>
    <row r="58" spans="2:23" x14ac:dyDescent="0.25">
      <c r="B58" s="30" t="s">
        <v>587</v>
      </c>
      <c r="C58" s="30"/>
      <c r="D58" s="30"/>
      <c r="E58" s="30"/>
      <c r="F58" s="30"/>
      <c r="G58" s="30"/>
      <c r="H58" s="30"/>
      <c r="I58" s="30"/>
      <c r="J58" s="184"/>
      <c r="K58" s="184"/>
      <c r="L58" s="184"/>
      <c r="M58" s="184"/>
      <c r="N58" s="184"/>
      <c r="O58" s="184"/>
      <c r="P58" s="184"/>
      <c r="Q58" s="184"/>
      <c r="R58" s="184"/>
      <c r="S58" s="184"/>
      <c r="T58" s="184"/>
      <c r="U58" s="184"/>
      <c r="V58" s="30"/>
      <c r="W58" s="30"/>
    </row>
    <row r="59" spans="2:23" x14ac:dyDescent="0.25">
      <c r="J59" s="89"/>
      <c r="K59" s="89"/>
      <c r="L59" s="89"/>
      <c r="M59" s="89"/>
      <c r="N59" s="89"/>
      <c r="O59" s="89"/>
      <c r="P59" s="89"/>
      <c r="Q59" s="89"/>
      <c r="R59" s="89"/>
      <c r="S59" s="89"/>
      <c r="T59" s="89"/>
      <c r="U59" s="89"/>
    </row>
    <row r="60" spans="2:23" x14ac:dyDescent="0.25">
      <c r="C60" s="29" t="s">
        <v>588</v>
      </c>
      <c r="J60" s="89"/>
      <c r="K60" s="89"/>
      <c r="L60" s="89"/>
      <c r="M60" s="89"/>
      <c r="N60" s="89"/>
      <c r="O60" s="89"/>
      <c r="P60" s="89"/>
      <c r="Q60" s="89"/>
      <c r="R60" s="89"/>
      <c r="S60" s="89"/>
      <c r="T60" s="89"/>
      <c r="U60" s="89"/>
    </row>
    <row r="61" spans="2:23" x14ac:dyDescent="0.25">
      <c r="J61" s="89"/>
      <c r="K61" s="89"/>
      <c r="L61" s="89"/>
      <c r="M61" s="89"/>
      <c r="N61" s="89"/>
      <c r="O61" s="89"/>
      <c r="P61" s="89"/>
      <c r="Q61" s="89"/>
      <c r="R61" s="89"/>
      <c r="S61" s="89"/>
      <c r="T61" s="89"/>
      <c r="U61" s="89"/>
    </row>
    <row r="62" spans="2:23" x14ac:dyDescent="0.25">
      <c r="C62" s="31" t="str">
        <f ca="1">INDEX('Version control'!$H$34:$H$57,MATCH($A$1,'Version control'!$F$34:$F$57,0),1)&amp;"-F: System simultaneous peak load based on charegable units"</f>
        <v>Section 108-F: System simultaneous peak load based on charegable units</v>
      </c>
      <c r="D62" s="31"/>
      <c r="E62" s="31"/>
      <c r="F62" s="31"/>
      <c r="G62" s="31"/>
      <c r="H62" s="175"/>
      <c r="I62" s="175"/>
      <c r="J62" s="185"/>
      <c r="K62" s="185"/>
      <c r="L62" s="185"/>
      <c r="M62" s="185"/>
      <c r="N62" s="185"/>
      <c r="O62" s="185"/>
      <c r="P62" s="185"/>
      <c r="Q62" s="185"/>
      <c r="R62" s="185"/>
      <c r="S62" s="185"/>
      <c r="T62" s="185"/>
      <c r="U62" s="185"/>
      <c r="V62" s="31"/>
      <c r="W62" s="175"/>
    </row>
    <row r="63" spans="2:23" x14ac:dyDescent="0.25">
      <c r="D63" s="32"/>
      <c r="J63" s="89"/>
      <c r="K63" s="89"/>
      <c r="L63" s="89"/>
      <c r="M63" s="89"/>
      <c r="N63" s="89"/>
      <c r="O63" s="89"/>
      <c r="P63" s="89"/>
      <c r="Q63" s="89"/>
      <c r="R63" s="89"/>
      <c r="S63" s="89"/>
      <c r="T63" s="89"/>
      <c r="U63" s="89"/>
    </row>
    <row r="64" spans="2:23" x14ac:dyDescent="0.25">
      <c r="E64" t="s">
        <v>589</v>
      </c>
      <c r="G64" t="s">
        <v>172</v>
      </c>
      <c r="J64" s="79"/>
      <c r="K64" s="120">
        <f t="array" ref="K64:S64">TRANSPOSE('System peak demand'!H269:H277)</f>
        <v>4224.4721190392174</v>
      </c>
      <c r="L64" s="120">
        <v>4222.1675563442604</v>
      </c>
      <c r="M64" s="120">
        <v>3870.8993660010674</v>
      </c>
      <c r="N64" s="120">
        <v>4087.8105888665091</v>
      </c>
      <c r="O64" s="120">
        <v>5119.6082254980274</v>
      </c>
      <c r="P64" s="120">
        <v>431.1566784043344</v>
      </c>
      <c r="Q64" s="120">
        <v>5328.974257931076</v>
      </c>
      <c r="R64" s="120">
        <v>4168.627726999187</v>
      </c>
      <c r="S64" s="120">
        <v>3217.2298981777453</v>
      </c>
      <c r="T64" s="79"/>
      <c r="U64" s="79"/>
    </row>
    <row r="65" spans="3:24" x14ac:dyDescent="0.25">
      <c r="E65" s="28" t="s">
        <v>590</v>
      </c>
      <c r="F65" s="28"/>
      <c r="G65" s="28" t="s">
        <v>172</v>
      </c>
      <c r="H65" s="102"/>
      <c r="J65" s="98">
        <f>K64</f>
        <v>4224.4721190392174</v>
      </c>
      <c r="K65" s="79"/>
      <c r="L65" s="79"/>
      <c r="M65" s="79"/>
      <c r="N65" s="79"/>
      <c r="O65" s="79"/>
      <c r="P65" s="79"/>
      <c r="Q65" s="79"/>
      <c r="R65" s="79"/>
      <c r="S65" s="79"/>
      <c r="T65" s="79"/>
      <c r="U65" s="79"/>
      <c r="W65" s="63"/>
      <c r="X65" s="63"/>
    </row>
    <row r="66" spans="3:24" x14ac:dyDescent="0.25">
      <c r="J66" s="89"/>
      <c r="K66" s="89"/>
      <c r="L66" s="89"/>
      <c r="M66" s="89"/>
      <c r="N66" s="89"/>
      <c r="O66" s="89"/>
      <c r="P66" s="89"/>
      <c r="Q66" s="89"/>
      <c r="R66" s="89"/>
      <c r="S66" s="89"/>
      <c r="T66" s="89"/>
      <c r="U66" s="89"/>
      <c r="X66" s="63"/>
    </row>
    <row r="67" spans="3:24" x14ac:dyDescent="0.25">
      <c r="E67" s="28" t="s">
        <v>589</v>
      </c>
      <c r="F67" s="28"/>
      <c r="G67" s="28" t="s">
        <v>520</v>
      </c>
      <c r="H67" s="102"/>
      <c r="J67" s="98">
        <f t="shared" ref="J67:S67" si="4">SUM(J64:J65) * thousand</f>
        <v>4224472.119039217</v>
      </c>
      <c r="K67" s="98">
        <f t="shared" si="4"/>
        <v>4224472.119039217</v>
      </c>
      <c r="L67" s="98">
        <f t="shared" si="4"/>
        <v>4222167.5563442605</v>
      </c>
      <c r="M67" s="98">
        <f t="shared" si="4"/>
        <v>3870899.3660010672</v>
      </c>
      <c r="N67" s="98">
        <f t="shared" si="4"/>
        <v>4087810.588866509</v>
      </c>
      <c r="O67" s="98">
        <f t="shared" si="4"/>
        <v>5119608.2254980272</v>
      </c>
      <c r="P67" s="98">
        <f t="shared" si="4"/>
        <v>431156.67840433441</v>
      </c>
      <c r="Q67" s="98">
        <f t="shared" si="4"/>
        <v>5328974.257931076</v>
      </c>
      <c r="R67" s="98">
        <f t="shared" si="4"/>
        <v>4168627.7269991869</v>
      </c>
      <c r="S67" s="98">
        <f t="shared" si="4"/>
        <v>3217229.8981777453</v>
      </c>
      <c r="T67" s="79"/>
      <c r="U67" s="79"/>
      <c r="W67" s="63"/>
      <c r="X67" s="63"/>
    </row>
    <row r="68" spans="3:24" x14ac:dyDescent="0.25">
      <c r="J68" s="89"/>
      <c r="K68" s="89"/>
      <c r="L68" s="89"/>
      <c r="M68" s="89"/>
      <c r="N68" s="89"/>
      <c r="O68" s="89"/>
      <c r="P68" s="89"/>
      <c r="Q68" s="89"/>
      <c r="R68" s="89"/>
      <c r="S68" s="89"/>
      <c r="T68" s="89"/>
      <c r="U68" s="89"/>
    </row>
    <row r="69" spans="3:24" x14ac:dyDescent="0.25">
      <c r="C69" s="31" t="str">
        <f ca="1">INDEX('Version control'!$H$34:$H$57,MATCH($A$1,'Version control'!$F$34:$F$57,0),1)&amp;"-G: Notional asset values, by network level"</f>
        <v>Section 108-G: Notional asset values, by network level</v>
      </c>
      <c r="D69" s="31"/>
      <c r="E69" s="31"/>
      <c r="F69" s="31"/>
      <c r="G69" s="31"/>
      <c r="H69" s="175"/>
      <c r="I69" s="175"/>
      <c r="J69" s="185"/>
      <c r="K69" s="185"/>
      <c r="L69" s="185"/>
      <c r="M69" s="185"/>
      <c r="N69" s="185"/>
      <c r="O69" s="185"/>
      <c r="P69" s="185"/>
      <c r="Q69" s="185"/>
      <c r="R69" s="185"/>
      <c r="S69" s="185"/>
      <c r="T69" s="185"/>
      <c r="U69" s="185"/>
      <c r="V69" s="31"/>
      <c r="W69" s="175"/>
    </row>
    <row r="70" spans="3:24" x14ac:dyDescent="0.25">
      <c r="E70" s="32"/>
      <c r="J70" s="89"/>
      <c r="K70" s="89"/>
      <c r="L70" s="89"/>
      <c r="M70" s="89"/>
      <c r="N70" s="89"/>
      <c r="O70" s="89"/>
      <c r="P70" s="89"/>
      <c r="Q70" s="89"/>
      <c r="R70" s="89"/>
      <c r="S70" s="89"/>
      <c r="T70" s="89"/>
      <c r="U70" s="89"/>
      <c r="X70" s="63"/>
    </row>
    <row r="71" spans="3:24" x14ac:dyDescent="0.25">
      <c r="D71" s="29" t="s">
        <v>591</v>
      </c>
      <c r="J71" s="89"/>
      <c r="K71" s="89"/>
      <c r="L71" s="89"/>
      <c r="M71" s="89"/>
      <c r="N71" s="89"/>
      <c r="O71" s="89"/>
      <c r="P71" s="89"/>
      <c r="Q71" s="89"/>
      <c r="R71" s="89"/>
      <c r="S71" s="89"/>
      <c r="T71" s="89"/>
      <c r="U71" s="89"/>
      <c r="X71" s="63"/>
    </row>
    <row r="72" spans="3:24" x14ac:dyDescent="0.25">
      <c r="D72" s="29"/>
      <c r="J72" s="89"/>
      <c r="K72" s="89"/>
      <c r="L72" s="89"/>
      <c r="M72" s="89"/>
      <c r="N72" s="89"/>
      <c r="O72" s="89"/>
      <c r="P72" s="89"/>
      <c r="Q72" s="89"/>
      <c r="R72" s="89"/>
      <c r="S72" s="89"/>
      <c r="T72" s="89"/>
      <c r="U72" s="89"/>
      <c r="X72" s="63"/>
    </row>
    <row r="73" spans="3:24" x14ac:dyDescent="0.25">
      <c r="E73" s="28" t="s">
        <v>592</v>
      </c>
      <c r="F73" s="28"/>
      <c r="G73" s="28" t="s">
        <v>277</v>
      </c>
      <c r="J73" s="79"/>
      <c r="K73" s="79"/>
      <c r="L73" s="98">
        <f t="shared" ref="L73:S73" si="5">L67 * L55</f>
        <v>485283521.86077666</v>
      </c>
      <c r="M73" s="98">
        <f t="shared" si="5"/>
        <v>252073177.00361472</v>
      </c>
      <c r="N73" s="98">
        <f t="shared" si="5"/>
        <v>331467266.3521179</v>
      </c>
      <c r="O73" s="98">
        <f t="shared" si="5"/>
        <v>671781086.07575023</v>
      </c>
      <c r="P73" s="98">
        <f t="shared" si="5"/>
        <v>58718825.142178521</v>
      </c>
      <c r="Q73" s="98">
        <f t="shared" si="5"/>
        <v>1513440543.8791625</v>
      </c>
      <c r="R73" s="98">
        <f t="shared" si="5"/>
        <v>547686663.53640187</v>
      </c>
      <c r="S73" s="98">
        <f t="shared" si="5"/>
        <v>867452179.9692502</v>
      </c>
      <c r="T73" s="79"/>
      <c r="U73" s="79"/>
      <c r="X73" s="63"/>
    </row>
    <row r="74" spans="3:24" x14ac:dyDescent="0.25">
      <c r="E74" s="28" t="s">
        <v>593</v>
      </c>
      <c r="F74" s="28"/>
      <c r="G74" s="28" t="s">
        <v>277</v>
      </c>
      <c r="J74" s="79"/>
      <c r="K74" s="79"/>
      <c r="L74" s="79"/>
      <c r="M74" s="79"/>
      <c r="N74" s="79"/>
      <c r="O74" s="79"/>
      <c r="P74" s="79"/>
      <c r="Q74" s="79"/>
      <c r="R74" s="79"/>
      <c r="S74" s="79"/>
      <c r="T74" s="120">
        <f>'Service model assets'!H33</f>
        <v>821442458.03830409</v>
      </c>
      <c r="U74" s="120">
        <f>'Service model assets'!H34</f>
        <v>37080195.9970714</v>
      </c>
      <c r="X74" s="63"/>
    </row>
    <row r="75" spans="3:24" x14ac:dyDescent="0.25">
      <c r="J75" s="89"/>
      <c r="K75" s="89"/>
      <c r="L75" s="89"/>
      <c r="M75" s="89"/>
      <c r="N75" s="89"/>
      <c r="O75" s="89"/>
      <c r="P75" s="89"/>
      <c r="Q75" s="89"/>
      <c r="R75" s="89"/>
      <c r="S75" s="89"/>
      <c r="T75" s="89"/>
      <c r="U75" s="89"/>
      <c r="X75" s="63"/>
    </row>
    <row r="76" spans="3:24" x14ac:dyDescent="0.25">
      <c r="E76" s="28" t="s">
        <v>594</v>
      </c>
      <c r="F76" s="28"/>
      <c r="G76" s="28" t="s">
        <v>277</v>
      </c>
      <c r="I76" t="s">
        <v>154</v>
      </c>
      <c r="J76" s="79"/>
      <c r="K76" s="98">
        <f t="shared" ref="K76:U76" si="6">K73 + K74</f>
        <v>0</v>
      </c>
      <c r="L76" s="98">
        <f t="shared" si="6"/>
        <v>485283521.86077666</v>
      </c>
      <c r="M76" s="98">
        <f t="shared" si="6"/>
        <v>252073177.00361472</v>
      </c>
      <c r="N76" s="98">
        <f t="shared" si="6"/>
        <v>331467266.3521179</v>
      </c>
      <c r="O76" s="98">
        <f t="shared" si="6"/>
        <v>671781086.07575023</v>
      </c>
      <c r="P76" s="98">
        <f t="shared" si="6"/>
        <v>58718825.142178521</v>
      </c>
      <c r="Q76" s="98">
        <f t="shared" si="6"/>
        <v>1513440543.8791625</v>
      </c>
      <c r="R76" s="98">
        <f t="shared" si="6"/>
        <v>547686663.53640187</v>
      </c>
      <c r="S76" s="98">
        <f t="shared" si="6"/>
        <v>867452179.9692502</v>
      </c>
      <c r="T76" s="98">
        <f t="shared" si="6"/>
        <v>821442458.03830409</v>
      </c>
      <c r="U76" s="98">
        <f t="shared" si="6"/>
        <v>37080195.9970714</v>
      </c>
      <c r="W76" s="3" t="s">
        <v>595</v>
      </c>
      <c r="X76" s="63"/>
    </row>
    <row r="77" spans="3:24" x14ac:dyDescent="0.25">
      <c r="L77" s="63"/>
      <c r="M77" s="63"/>
      <c r="N77" s="63"/>
      <c r="O77" s="63"/>
      <c r="P77" s="63"/>
      <c r="Q77" s="63"/>
      <c r="R77" s="63"/>
      <c r="S77" s="63"/>
      <c r="T77" s="63"/>
      <c r="U77" s="63"/>
      <c r="X77" s="63"/>
    </row>
    <row r="78" spans="3:24" x14ac:dyDescent="0.25">
      <c r="E78" s="28" t="s">
        <v>596</v>
      </c>
      <c r="F78" s="28"/>
      <c r="G78" s="28" t="s">
        <v>167</v>
      </c>
      <c r="J78" s="180"/>
      <c r="K78" s="145">
        <f t="shared" ref="K78:U78" si="7">K76 / SUM($K$76:$U$76)</f>
        <v>0</v>
      </c>
      <c r="L78" s="145">
        <f t="shared" si="7"/>
        <v>8.6868335675905933E-2</v>
      </c>
      <c r="M78" s="145">
        <f t="shared" si="7"/>
        <v>4.5122441559275014E-2</v>
      </c>
      <c r="N78" s="145">
        <f t="shared" si="7"/>
        <v>5.9334406510739568E-2</v>
      </c>
      <c r="O78" s="145">
        <f t="shared" si="7"/>
        <v>0.12025239320344132</v>
      </c>
      <c r="P78" s="145">
        <f t="shared" si="7"/>
        <v>1.0510982514689552E-2</v>
      </c>
      <c r="Q78" s="145">
        <f t="shared" si="7"/>
        <v>0.2709139199433569</v>
      </c>
      <c r="R78" s="145">
        <f t="shared" si="7"/>
        <v>9.8038830477632413E-2</v>
      </c>
      <c r="S78" s="145">
        <f t="shared" si="7"/>
        <v>0.15527856141380292</v>
      </c>
      <c r="T78" s="145">
        <f t="shared" si="7"/>
        <v>0.14704257607944171</v>
      </c>
      <c r="U78" s="145">
        <f t="shared" si="7"/>
        <v>6.6375526217147835E-3</v>
      </c>
      <c r="X78" s="63"/>
    </row>
    <row r="79" spans="3:24" x14ac:dyDescent="0.25">
      <c r="E79" s="32"/>
      <c r="L79" s="63"/>
      <c r="M79" s="63"/>
      <c r="N79" s="63"/>
      <c r="O79" s="63"/>
      <c r="P79" s="63"/>
      <c r="Q79" s="63"/>
      <c r="R79" s="63"/>
      <c r="S79" s="63"/>
      <c r="T79" s="63"/>
      <c r="U79" s="63"/>
    </row>
    <row r="80" spans="3:24" x14ac:dyDescent="0.25">
      <c r="C80" s="31" t="str">
        <f ca="1">INDEX('Version control'!$H$34:$H$57,MATCH($A$1,'Version control'!$F$34:$F$57,0),1)&amp;"-H: Other operating costs"</f>
        <v>Section 108-H: Other operating costs</v>
      </c>
      <c r="D80" s="31"/>
      <c r="E80" s="31"/>
      <c r="F80" s="31"/>
      <c r="G80" s="31"/>
      <c r="H80" s="175"/>
      <c r="I80" s="175"/>
      <c r="J80" s="175"/>
      <c r="K80" s="175"/>
      <c r="L80" s="175"/>
      <c r="M80" s="175"/>
      <c r="N80" s="175"/>
      <c r="O80" s="175"/>
      <c r="P80" s="175"/>
      <c r="Q80" s="175"/>
      <c r="R80" s="175"/>
      <c r="S80" s="175"/>
      <c r="T80" s="175"/>
      <c r="U80" s="175"/>
      <c r="V80" s="31"/>
      <c r="W80" s="175"/>
    </row>
    <row r="81" spans="3:23" x14ac:dyDescent="0.25">
      <c r="E81" s="32"/>
      <c r="L81" s="63"/>
      <c r="M81" s="63"/>
      <c r="N81" s="63"/>
      <c r="O81" s="63"/>
      <c r="P81" s="63"/>
      <c r="Q81" s="63"/>
      <c r="R81" s="63"/>
      <c r="S81" s="63"/>
      <c r="T81" s="63"/>
      <c r="U81" s="63"/>
    </row>
    <row r="82" spans="3:23" x14ac:dyDescent="0.25">
      <c r="D82" s="29" t="s">
        <v>597</v>
      </c>
      <c r="L82" s="63"/>
      <c r="M82" s="63"/>
      <c r="N82" s="63"/>
      <c r="O82" s="63"/>
      <c r="P82" s="63"/>
      <c r="Q82" s="63"/>
      <c r="R82" s="63"/>
      <c r="S82" s="63"/>
      <c r="T82" s="63"/>
      <c r="U82" s="63"/>
    </row>
    <row r="83" spans="3:23" x14ac:dyDescent="0.25">
      <c r="D83" s="29"/>
      <c r="L83" s="63"/>
      <c r="M83" s="63"/>
      <c r="N83" s="63"/>
      <c r="O83" s="63"/>
      <c r="P83" s="63"/>
      <c r="Q83" s="63"/>
      <c r="R83" s="63"/>
      <c r="S83" s="63"/>
      <c r="T83" s="63"/>
      <c r="U83" s="63"/>
    </row>
    <row r="84" spans="3:23" x14ac:dyDescent="0.25">
      <c r="E84" s="28" t="s">
        <v>169</v>
      </c>
      <c r="F84" s="28"/>
      <c r="G84" s="28" t="s">
        <v>167</v>
      </c>
      <c r="H84" s="25">
        <f>'Fixed inputs'!H39</f>
        <v>0.6</v>
      </c>
      <c r="L84" s="63"/>
      <c r="M84" s="63"/>
      <c r="N84" s="63"/>
      <c r="O84" s="63"/>
      <c r="P84" s="63"/>
      <c r="Q84" s="63"/>
      <c r="R84" s="63"/>
      <c r="S84" s="63"/>
      <c r="T84" s="63"/>
      <c r="U84" s="63"/>
    </row>
    <row r="85" spans="3:23" x14ac:dyDescent="0.25">
      <c r="F85" s="28"/>
      <c r="G85" s="28"/>
      <c r="H85" s="25"/>
      <c r="L85" s="63"/>
      <c r="M85" s="63"/>
      <c r="N85" s="63"/>
      <c r="O85" s="63"/>
      <c r="P85" s="63"/>
      <c r="Q85" s="63"/>
      <c r="R85" s="63"/>
      <c r="S85" s="63"/>
      <c r="T85" s="63"/>
      <c r="U85" s="63"/>
    </row>
    <row r="86" spans="3:23" x14ac:dyDescent="0.25">
      <c r="E86" s="28" t="s">
        <v>360</v>
      </c>
      <c r="F86" s="28"/>
      <c r="G86" s="28" t="s">
        <v>357</v>
      </c>
      <c r="H86" s="120">
        <f>'General inputs'!H102</f>
        <v>44469072.859424919</v>
      </c>
      <c r="L86" s="63"/>
      <c r="M86" s="63"/>
      <c r="N86" s="63"/>
      <c r="O86" s="63"/>
      <c r="P86" s="63"/>
      <c r="Q86" s="63"/>
      <c r="R86" s="63"/>
      <c r="S86" s="63"/>
      <c r="T86" s="63"/>
      <c r="U86" s="63"/>
    </row>
    <row r="87" spans="3:23" x14ac:dyDescent="0.25">
      <c r="E87" s="28" t="s">
        <v>361</v>
      </c>
      <c r="F87" s="28"/>
      <c r="G87" s="28" t="s">
        <v>357</v>
      </c>
      <c r="H87" s="120">
        <f>'General inputs'!H103</f>
        <v>144357826.6385861</v>
      </c>
      <c r="L87" s="63"/>
      <c r="M87" s="63"/>
      <c r="N87" s="63"/>
      <c r="O87" s="63"/>
      <c r="P87" s="63"/>
      <c r="Q87" s="63"/>
      <c r="R87" s="63"/>
      <c r="S87" s="63"/>
      <c r="T87" s="63"/>
      <c r="U87" s="63"/>
    </row>
    <row r="88" spans="3:23" x14ac:dyDescent="0.25">
      <c r="E88" s="28" t="s">
        <v>362</v>
      </c>
      <c r="F88" s="28"/>
      <c r="G88" s="28" t="s">
        <v>357</v>
      </c>
      <c r="H88" s="120">
        <f>'General inputs'!H104</f>
        <v>32693484.429710209</v>
      </c>
      <c r="J88" s="63"/>
      <c r="L88" s="63"/>
      <c r="M88" s="63"/>
      <c r="N88" s="63"/>
      <c r="O88" s="63"/>
      <c r="P88" s="63"/>
      <c r="Q88" s="63"/>
      <c r="R88" s="63"/>
      <c r="S88" s="63"/>
      <c r="T88" s="63"/>
      <c r="U88" s="63"/>
    </row>
    <row r="89" spans="3:23" x14ac:dyDescent="0.25">
      <c r="E89" s="28"/>
      <c r="F89" s="28"/>
      <c r="G89" s="28"/>
      <c r="H89" s="120"/>
      <c r="J89" s="63"/>
      <c r="L89" s="63"/>
      <c r="M89" s="63"/>
      <c r="N89" s="63"/>
      <c r="O89" s="63"/>
      <c r="P89" s="63"/>
      <c r="Q89" s="63"/>
      <c r="R89" s="63"/>
      <c r="S89" s="63"/>
      <c r="T89" s="63"/>
      <c r="U89" s="63"/>
    </row>
    <row r="90" spans="3:23" x14ac:dyDescent="0.25">
      <c r="E90" s="28" t="s">
        <v>598</v>
      </c>
      <c r="F90" s="28"/>
      <c r="G90" s="28" t="s">
        <v>357</v>
      </c>
      <c r="H90" s="98">
        <f>H86 + H87 * H84 + H88</f>
        <v>163777253.27228677</v>
      </c>
      <c r="L90" s="63"/>
      <c r="M90" s="63"/>
      <c r="N90" s="63"/>
      <c r="O90" s="63"/>
      <c r="P90" s="63"/>
      <c r="Q90" s="63"/>
      <c r="R90" s="63"/>
      <c r="S90" s="63"/>
      <c r="T90" s="63"/>
      <c r="U90" s="63"/>
    </row>
    <row r="91" spans="3:23" x14ac:dyDescent="0.25">
      <c r="E91" s="32"/>
      <c r="L91" s="63"/>
      <c r="M91" s="63"/>
      <c r="N91" s="63"/>
      <c r="O91" s="63"/>
      <c r="P91" s="63"/>
      <c r="Q91" s="63"/>
      <c r="R91" s="63"/>
      <c r="S91" s="63"/>
      <c r="T91" s="63"/>
      <c r="U91" s="63"/>
    </row>
    <row r="92" spans="3:23" x14ac:dyDescent="0.25">
      <c r="C92" s="31" t="str">
        <f ca="1">INDEX('Version control'!$H$34:$H$57,MATCH($A$1,'Version control'!$F$34:$F$57,0),1)&amp;"-I: Other operating costs by network level"</f>
        <v>Section 108-I: Other operating costs by network level</v>
      </c>
      <c r="D92" s="31"/>
      <c r="E92" s="31"/>
      <c r="F92" s="31"/>
      <c r="G92" s="31"/>
      <c r="H92" s="175"/>
      <c r="I92" s="175"/>
      <c r="J92" s="175"/>
      <c r="K92" s="175"/>
      <c r="L92" s="175"/>
      <c r="M92" s="175"/>
      <c r="N92" s="175"/>
      <c r="O92" s="175"/>
      <c r="P92" s="175"/>
      <c r="Q92" s="175"/>
      <c r="R92" s="175"/>
      <c r="S92" s="175"/>
      <c r="T92" s="175"/>
      <c r="U92" s="175"/>
      <c r="V92" s="31"/>
      <c r="W92" s="175"/>
    </row>
    <row r="93" spans="3:23" x14ac:dyDescent="0.25">
      <c r="E93" s="32"/>
      <c r="H93" s="63"/>
      <c r="L93" s="63"/>
      <c r="M93" s="63"/>
      <c r="N93" s="63"/>
      <c r="O93" s="63"/>
      <c r="P93" s="63"/>
      <c r="Q93" s="63"/>
      <c r="R93" s="63"/>
      <c r="S93" s="63"/>
      <c r="T93" s="63"/>
      <c r="U93" s="63"/>
    </row>
    <row r="94" spans="3:23" x14ac:dyDescent="0.25">
      <c r="D94" s="29" t="s">
        <v>599</v>
      </c>
      <c r="H94" s="63"/>
      <c r="L94" s="63"/>
      <c r="M94" s="63"/>
      <c r="N94" s="63"/>
      <c r="O94" s="63"/>
      <c r="P94" s="63"/>
      <c r="Q94" s="63"/>
      <c r="R94" s="63"/>
      <c r="S94" s="63"/>
      <c r="T94" s="63"/>
      <c r="U94" s="63"/>
    </row>
    <row r="95" spans="3:23" x14ac:dyDescent="0.25">
      <c r="D95" s="29" t="s">
        <v>600</v>
      </c>
      <c r="H95" s="63"/>
      <c r="L95" s="63"/>
      <c r="M95" s="63"/>
      <c r="N95" s="63"/>
      <c r="O95" s="63"/>
      <c r="P95" s="63"/>
      <c r="Q95" s="63"/>
      <c r="R95" s="63"/>
      <c r="S95" s="63"/>
      <c r="T95" s="63"/>
      <c r="U95" s="63"/>
    </row>
    <row r="96" spans="3:23" x14ac:dyDescent="0.25">
      <c r="D96" s="29"/>
      <c r="H96" s="63"/>
      <c r="L96" s="63"/>
      <c r="M96" s="63"/>
      <c r="N96" s="63"/>
      <c r="O96" s="63"/>
      <c r="P96" s="63"/>
      <c r="Q96" s="63"/>
      <c r="R96" s="63"/>
      <c r="S96" s="63"/>
      <c r="T96" s="63"/>
      <c r="U96" s="63"/>
    </row>
    <row r="97" spans="2:23" x14ac:dyDescent="0.25">
      <c r="E97" s="28" t="s">
        <v>601</v>
      </c>
      <c r="F97" s="28"/>
      <c r="G97" s="28" t="s">
        <v>357</v>
      </c>
      <c r="I97" t="s">
        <v>154</v>
      </c>
      <c r="J97" s="79"/>
      <c r="K97" s="98">
        <f t="shared" ref="K97:U97" si="8">K78 * $H$90</f>
        <v>0</v>
      </c>
      <c r="L97" s="98">
        <f t="shared" si="8"/>
        <v>14227057.413334871</v>
      </c>
      <c r="M97" s="98">
        <f t="shared" si="8"/>
        <v>7390029.5395173421</v>
      </c>
      <c r="N97" s="98">
        <f t="shared" si="8"/>
        <v>9717626.1228702161</v>
      </c>
      <c r="O97" s="98">
        <f t="shared" si="8"/>
        <v>19694606.658278625</v>
      </c>
      <c r="P97" s="98">
        <f t="shared" si="8"/>
        <v>1721459.8454488884</v>
      </c>
      <c r="Q97" s="98">
        <f t="shared" si="8"/>
        <v>44369537.681551188</v>
      </c>
      <c r="R97" s="98">
        <f t="shared" si="8"/>
        <v>16056530.36965399</v>
      </c>
      <c r="S97" s="98">
        <f t="shared" si="8"/>
        <v>25431096.280424736</v>
      </c>
      <c r="T97" s="98">
        <f t="shared" si="8"/>
        <v>24082229.224372223</v>
      </c>
      <c r="U97" s="98">
        <f t="shared" si="8"/>
        <v>1087080.1368347132</v>
      </c>
      <c r="W97" s="3" t="s">
        <v>602</v>
      </c>
    </row>
    <row r="98" spans="2:23" x14ac:dyDescent="0.25">
      <c r="E98" s="28" t="s">
        <v>356</v>
      </c>
      <c r="F98" s="28"/>
      <c r="G98" s="28" t="s">
        <v>357</v>
      </c>
      <c r="H98" s="63"/>
      <c r="I98" s="63"/>
      <c r="J98" s="120">
        <f>'General inputs'!$H$97</f>
        <v>13079170.859866442</v>
      </c>
      <c r="K98" s="79"/>
      <c r="L98" s="79"/>
      <c r="M98" s="79"/>
      <c r="N98" s="79"/>
      <c r="O98" s="79"/>
      <c r="P98" s="79"/>
      <c r="Q98" s="79"/>
      <c r="R98" s="79"/>
      <c r="S98" s="79"/>
      <c r="T98" s="79"/>
      <c r="U98" s="79"/>
    </row>
    <row r="99" spans="2:23" x14ac:dyDescent="0.25">
      <c r="J99" s="89"/>
      <c r="K99" s="89"/>
      <c r="L99" s="89"/>
      <c r="M99" s="89"/>
      <c r="N99" s="89"/>
      <c r="O99" s="89"/>
      <c r="P99" s="89"/>
      <c r="Q99" s="89"/>
      <c r="R99" s="89"/>
      <c r="S99" s="89"/>
      <c r="T99" s="89"/>
      <c r="U99" s="89"/>
    </row>
    <row r="100" spans="2:23" x14ac:dyDescent="0.25">
      <c r="E100" s="28" t="s">
        <v>603</v>
      </c>
      <c r="F100" s="28"/>
      <c r="G100" s="28" t="s">
        <v>604</v>
      </c>
      <c r="I100" t="s">
        <v>154</v>
      </c>
      <c r="J100" s="98">
        <f t="shared" ref="J100:S100" si="9">IF(J$67 = 0, 0, SUM(J97:J98) / J$67)</f>
        <v>3.0960485692212529</v>
      </c>
      <c r="K100" s="98">
        <f t="shared" si="9"/>
        <v>0</v>
      </c>
      <c r="L100" s="98">
        <f t="shared" si="9"/>
        <v>3.3696098564248564</v>
      </c>
      <c r="M100" s="98">
        <f t="shared" si="9"/>
        <v>1.9091246867396099</v>
      </c>
      <c r="N100" s="98">
        <f t="shared" si="9"/>
        <v>2.3772202531440612</v>
      </c>
      <c r="O100" s="98">
        <f t="shared" si="9"/>
        <v>3.8468972215862798</v>
      </c>
      <c r="P100" s="98">
        <f t="shared" si="9"/>
        <v>3.9926549481265847</v>
      </c>
      <c r="Q100" s="98">
        <f t="shared" si="9"/>
        <v>8.3260934532600359</v>
      </c>
      <c r="R100" s="98">
        <f t="shared" si="9"/>
        <v>3.8517544432331419</v>
      </c>
      <c r="S100" s="98">
        <f t="shared" si="9"/>
        <v>7.9046562058959582</v>
      </c>
      <c r="T100" s="79"/>
      <c r="U100" s="79"/>
      <c r="W100" s="3" t="s">
        <v>605</v>
      </c>
    </row>
    <row r="101" spans="2:23" x14ac:dyDescent="0.25">
      <c r="J101" s="89"/>
      <c r="K101" s="89"/>
      <c r="L101" s="89"/>
      <c r="M101" s="89"/>
      <c r="N101" s="89"/>
      <c r="O101" s="89"/>
      <c r="P101" s="89"/>
      <c r="Q101" s="89"/>
      <c r="R101" s="89"/>
      <c r="S101" s="89"/>
      <c r="T101" s="89"/>
      <c r="U101" s="89"/>
    </row>
    <row r="102" spans="2:23" x14ac:dyDescent="0.25">
      <c r="B102" s="30" t="s">
        <v>606</v>
      </c>
      <c r="C102" s="30"/>
      <c r="D102" s="30"/>
      <c r="E102" s="30"/>
      <c r="F102" s="30"/>
      <c r="G102" s="30"/>
      <c r="H102" s="30"/>
      <c r="I102" s="30"/>
      <c r="J102" s="184"/>
      <c r="K102" s="184"/>
      <c r="L102" s="184"/>
      <c r="M102" s="184"/>
      <c r="N102" s="184"/>
      <c r="O102" s="184"/>
      <c r="P102" s="184"/>
      <c r="Q102" s="184"/>
      <c r="R102" s="184"/>
      <c r="S102" s="184"/>
      <c r="T102" s="184"/>
      <c r="U102" s="184"/>
      <c r="V102" s="30"/>
      <c r="W102" s="30"/>
    </row>
    <row r="103" spans="2:23" x14ac:dyDescent="0.25">
      <c r="B103" s="29"/>
      <c r="J103" s="89"/>
      <c r="K103" s="89"/>
      <c r="L103" s="89"/>
      <c r="M103" s="89"/>
      <c r="N103" s="89"/>
      <c r="O103" s="89"/>
      <c r="P103" s="89"/>
      <c r="Q103" s="89"/>
      <c r="R103" s="89"/>
      <c r="S103" s="89"/>
      <c r="T103" s="89"/>
      <c r="U103" s="89"/>
    </row>
    <row r="104" spans="2:23" x14ac:dyDescent="0.25">
      <c r="C104" s="31" t="str">
        <f ca="1">INDEX('Version control'!$H$34:$H$57,MATCH($A$1,'Version control'!$F$34:$F$57,0),1)&amp;"-J: Notional asset values by network level"</f>
        <v>Section 108-J: Notional asset values by network level</v>
      </c>
      <c r="D104" s="31"/>
      <c r="E104" s="31"/>
      <c r="F104" s="31"/>
      <c r="G104" s="31"/>
      <c r="H104" s="175"/>
      <c r="I104" s="175"/>
      <c r="J104" s="185"/>
      <c r="K104" s="185"/>
      <c r="L104" s="185"/>
      <c r="M104" s="185"/>
      <c r="N104" s="185"/>
      <c r="O104" s="185"/>
      <c r="P104" s="185"/>
      <c r="Q104" s="185"/>
      <c r="R104" s="185"/>
      <c r="S104" s="185"/>
      <c r="T104" s="185"/>
      <c r="U104" s="185"/>
      <c r="V104" s="31"/>
      <c r="W104" s="175"/>
    </row>
    <row r="105" spans="2:23" x14ac:dyDescent="0.25">
      <c r="B105" s="29"/>
      <c r="J105" s="89"/>
      <c r="K105" s="89"/>
      <c r="L105" s="89"/>
      <c r="M105" s="89"/>
      <c r="N105" s="89"/>
      <c r="O105" s="89"/>
      <c r="P105" s="89"/>
      <c r="Q105" s="89"/>
      <c r="R105" s="89"/>
      <c r="S105" s="89"/>
      <c r="T105" s="89"/>
      <c r="U105" s="89"/>
    </row>
    <row r="106" spans="2:23" x14ac:dyDescent="0.25">
      <c r="B106" s="29"/>
      <c r="D106" s="29" t="s">
        <v>607</v>
      </c>
      <c r="J106" s="89"/>
      <c r="K106" s="89"/>
      <c r="L106" s="89"/>
      <c r="M106" s="89"/>
      <c r="N106" s="89"/>
      <c r="O106" s="89"/>
      <c r="P106" s="89"/>
      <c r="Q106" s="89"/>
      <c r="R106" s="89"/>
      <c r="S106" s="89"/>
      <c r="T106" s="89"/>
      <c r="U106" s="89"/>
    </row>
    <row r="107" spans="2:23" x14ac:dyDescent="0.25">
      <c r="B107" s="29"/>
      <c r="D107" s="29"/>
      <c r="J107" s="89"/>
      <c r="K107" s="89"/>
      <c r="L107" s="89"/>
      <c r="M107" s="89"/>
      <c r="N107" s="89"/>
      <c r="O107" s="89"/>
      <c r="P107" s="89"/>
      <c r="Q107" s="89"/>
      <c r="R107" s="89"/>
      <c r="S107" s="89"/>
      <c r="T107" s="89"/>
      <c r="U107" s="89"/>
    </row>
    <row r="108" spans="2:23" x14ac:dyDescent="0.25">
      <c r="B108" s="29"/>
      <c r="E108" s="28" t="s">
        <v>594</v>
      </c>
      <c r="F108" s="28"/>
      <c r="G108" s="28" t="s">
        <v>277</v>
      </c>
      <c r="J108" s="79"/>
      <c r="K108" s="121">
        <f t="shared" ref="K108:U108" si="10">K76</f>
        <v>0</v>
      </c>
      <c r="L108" s="121">
        <f t="shared" si="10"/>
        <v>485283521.86077666</v>
      </c>
      <c r="M108" s="121">
        <f t="shared" si="10"/>
        <v>252073177.00361472</v>
      </c>
      <c r="N108" s="121">
        <f t="shared" si="10"/>
        <v>331467266.3521179</v>
      </c>
      <c r="O108" s="121">
        <f t="shared" si="10"/>
        <v>671781086.07575023</v>
      </c>
      <c r="P108" s="121">
        <f t="shared" si="10"/>
        <v>58718825.142178521</v>
      </c>
      <c r="Q108" s="121">
        <f t="shared" si="10"/>
        <v>1513440543.8791625</v>
      </c>
      <c r="R108" s="121">
        <f t="shared" si="10"/>
        <v>547686663.53640187</v>
      </c>
      <c r="S108" s="121">
        <f t="shared" si="10"/>
        <v>867452179.9692502</v>
      </c>
      <c r="T108" s="121">
        <f t="shared" si="10"/>
        <v>821442458.03830409</v>
      </c>
      <c r="U108" s="121">
        <f t="shared" si="10"/>
        <v>37080195.9970714</v>
      </c>
    </row>
    <row r="109" spans="2:23" x14ac:dyDescent="0.25">
      <c r="B109" s="29"/>
    </row>
    <row r="110" spans="2:23" x14ac:dyDescent="0.25">
      <c r="C110" s="31" t="str">
        <f ca="1">INDEX('Version control'!$H$34:$H$57,MATCH($A$1,'Version control'!$F$34:$F$57,0),1)&amp;"-K: Unit costs"</f>
        <v>Section 108-K: Unit costs</v>
      </c>
      <c r="D110" s="31"/>
      <c r="E110" s="31"/>
      <c r="F110" s="31"/>
      <c r="G110" s="31"/>
      <c r="H110" s="175"/>
      <c r="I110" s="175"/>
      <c r="J110" s="175"/>
      <c r="K110" s="175"/>
      <c r="L110" s="175"/>
      <c r="M110" s="175"/>
      <c r="N110" s="175"/>
      <c r="O110" s="175"/>
      <c r="P110" s="175"/>
      <c r="Q110" s="175"/>
      <c r="R110" s="175"/>
      <c r="S110" s="175"/>
      <c r="T110" s="175"/>
      <c r="U110" s="175"/>
      <c r="V110" s="31"/>
      <c r="W110" s="175"/>
    </row>
    <row r="111" spans="2:23" x14ac:dyDescent="0.25">
      <c r="B111" s="29"/>
    </row>
    <row r="112" spans="2:23" x14ac:dyDescent="0.25">
      <c r="B112" s="29"/>
      <c r="D112" s="29" t="s">
        <v>608</v>
      </c>
    </row>
    <row r="113" spans="2:24" x14ac:dyDescent="0.25">
      <c r="B113" s="29"/>
      <c r="D113" s="29"/>
    </row>
    <row r="114" spans="2:24" x14ac:dyDescent="0.25">
      <c r="E114" t="s">
        <v>584</v>
      </c>
      <c r="F114" s="177"/>
      <c r="G114" s="28" t="s">
        <v>604</v>
      </c>
      <c r="H114" s="3"/>
      <c r="I114" s="3"/>
      <c r="J114" s="79"/>
      <c r="K114" s="79"/>
      <c r="L114" s="121">
        <f t="shared" ref="L114:S114" si="11">L56</f>
        <v>5.3072976336259448</v>
      </c>
      <c r="M114" s="121">
        <f t="shared" si="11"/>
        <v>3.0069632283721806</v>
      </c>
      <c r="N114" s="121">
        <f t="shared" si="11"/>
        <v>3.744236265234969</v>
      </c>
      <c r="O114" s="121">
        <f t="shared" si="11"/>
        <v>6.0590481957424744</v>
      </c>
      <c r="P114" s="121">
        <f t="shared" si="11"/>
        <v>6.2886236273536662</v>
      </c>
      <c r="Q114" s="121">
        <f t="shared" si="11"/>
        <v>13.113997751870265</v>
      </c>
      <c r="R114" s="121">
        <f t="shared" si="11"/>
        <v>6.0666985535140832</v>
      </c>
      <c r="S114" s="121">
        <f t="shared" si="11"/>
        <v>12.450213812197704</v>
      </c>
      <c r="T114" s="79"/>
      <c r="U114" s="79"/>
    </row>
    <row r="115" spans="2:24" x14ac:dyDescent="0.25">
      <c r="B115" s="29"/>
      <c r="E115" t="s">
        <v>603</v>
      </c>
      <c r="F115" s="28"/>
      <c r="G115" s="28" t="s">
        <v>604</v>
      </c>
      <c r="J115" s="121">
        <f t="shared" ref="J115:S115" si="12">J100</f>
        <v>3.0960485692212529</v>
      </c>
      <c r="K115" s="121">
        <f t="shared" si="12"/>
        <v>0</v>
      </c>
      <c r="L115" s="121">
        <f t="shared" si="12"/>
        <v>3.3696098564248564</v>
      </c>
      <c r="M115" s="121">
        <f t="shared" si="12"/>
        <v>1.9091246867396099</v>
      </c>
      <c r="N115" s="121">
        <f t="shared" si="12"/>
        <v>2.3772202531440612</v>
      </c>
      <c r="O115" s="121">
        <f t="shared" si="12"/>
        <v>3.8468972215862798</v>
      </c>
      <c r="P115" s="121">
        <f t="shared" si="12"/>
        <v>3.9926549481265847</v>
      </c>
      <c r="Q115" s="121">
        <f t="shared" si="12"/>
        <v>8.3260934532600359</v>
      </c>
      <c r="R115" s="121">
        <f t="shared" si="12"/>
        <v>3.8517544432331419</v>
      </c>
      <c r="S115" s="121">
        <f t="shared" si="12"/>
        <v>7.9046562058959582</v>
      </c>
      <c r="T115" s="79"/>
      <c r="U115" s="79"/>
    </row>
    <row r="116" spans="2:24" x14ac:dyDescent="0.25">
      <c r="B116" s="29"/>
    </row>
    <row r="117" spans="2:24" x14ac:dyDescent="0.25">
      <c r="C117" s="31" t="str">
        <f ca="1">INDEX('Version control'!$H$34:$H$57,MATCH($A$1,'Version control'!$F$34:$F$57,0),1)&amp;"-L: Values used for allocating costs to service models"</f>
        <v>Section 108-L: Values used for allocating costs to service models</v>
      </c>
      <c r="D117" s="31"/>
      <c r="E117" s="31"/>
      <c r="F117" s="31"/>
      <c r="G117" s="31"/>
      <c r="H117" s="175"/>
      <c r="I117" s="175"/>
      <c r="J117" s="175"/>
      <c r="K117" s="175"/>
      <c r="L117" s="175"/>
      <c r="M117" s="175"/>
      <c r="N117" s="175"/>
      <c r="O117" s="175"/>
      <c r="P117" s="175"/>
      <c r="Q117" s="175"/>
      <c r="R117" s="175"/>
      <c r="S117" s="175"/>
      <c r="T117" s="175"/>
      <c r="U117" s="175"/>
      <c r="V117" s="31"/>
      <c r="W117" s="175"/>
    </row>
    <row r="118" spans="2:24" x14ac:dyDescent="0.25">
      <c r="B118" s="29"/>
    </row>
    <row r="119" spans="2:24" x14ac:dyDescent="0.25">
      <c r="B119" s="29"/>
      <c r="D119" s="29" t="s">
        <v>609</v>
      </c>
    </row>
    <row r="120" spans="2:24" x14ac:dyDescent="0.25">
      <c r="B120" s="29"/>
      <c r="D120" s="29"/>
    </row>
    <row r="121" spans="2:24" x14ac:dyDescent="0.25">
      <c r="B121" s="29"/>
      <c r="C121" s="32"/>
      <c r="E121" t="s">
        <v>568</v>
      </c>
      <c r="F121" s="28"/>
      <c r="G121" s="28" t="s">
        <v>167</v>
      </c>
      <c r="H121" s="186">
        <f>H25</f>
        <v>4.6175686729760558E-2</v>
      </c>
    </row>
    <row r="122" spans="2:24" x14ac:dyDescent="0.25">
      <c r="B122" s="29"/>
      <c r="C122" s="32"/>
      <c r="E122" t="s">
        <v>598</v>
      </c>
      <c r="F122" s="28"/>
      <c r="G122" s="28" t="s">
        <v>357</v>
      </c>
      <c r="H122" s="121">
        <f>H90</f>
        <v>163777253.27228677</v>
      </c>
    </row>
    <row r="123" spans="2:24" x14ac:dyDescent="0.25">
      <c r="E123" t="s">
        <v>594</v>
      </c>
      <c r="F123" s="28"/>
      <c r="G123" s="28" t="s">
        <v>277</v>
      </c>
      <c r="H123" s="121">
        <f>SUM(K76:U76)</f>
        <v>5586425917.8546276</v>
      </c>
      <c r="X123" s="63"/>
    </row>
    <row r="124" spans="2:24" x14ac:dyDescent="0.25">
      <c r="B124" s="29"/>
      <c r="C124" s="32"/>
    </row>
    <row r="125" spans="2:24" x14ac:dyDescent="0.25">
      <c r="B125" s="30" t="s">
        <v>231</v>
      </c>
      <c r="C125" s="30"/>
      <c r="D125" s="30"/>
      <c r="E125" s="30"/>
      <c r="F125" s="30"/>
      <c r="G125" s="30"/>
      <c r="H125" s="30"/>
      <c r="I125" s="30"/>
      <c r="J125" s="30"/>
      <c r="K125" s="30"/>
      <c r="L125" s="30"/>
      <c r="M125" s="30"/>
      <c r="N125" s="30"/>
      <c r="O125" s="30"/>
      <c r="P125" s="30"/>
      <c r="Q125" s="30"/>
      <c r="R125" s="30"/>
      <c r="S125" s="30"/>
      <c r="T125" s="30"/>
      <c r="U125" s="30"/>
      <c r="V125" s="30"/>
      <c r="W125" s="30"/>
    </row>
    <row r="127" spans="2:24" x14ac:dyDescent="0.25">
      <c r="E127" t="s">
        <v>232</v>
      </c>
      <c r="G127" s="6" t="s">
        <v>55</v>
      </c>
      <c r="H127" s="187">
        <f t="array" ref="H127">SUM(IF(ISERROR(H23:U123), 1))</f>
        <v>0</v>
      </c>
    </row>
    <row r="129" spans="2:23" x14ac:dyDescent="0.25">
      <c r="E129" t="s">
        <v>610</v>
      </c>
      <c r="G129" s="6" t="s">
        <v>55</v>
      </c>
      <c r="H129" s="187">
        <f>SUM(J129:U129)</f>
        <v>0</v>
      </c>
      <c r="J129" s="188"/>
      <c r="K129" s="188"/>
      <c r="L129" s="188"/>
      <c r="M129" s="188"/>
      <c r="N129" s="187">
        <f t="shared" ref="N129:U129" si="13">IFERROR(IF(OR(AND(N54&gt;0, N48=0), AND(N48&gt;0, N54=0)), 1, 0),1)</f>
        <v>0</v>
      </c>
      <c r="O129" s="187">
        <f t="shared" si="13"/>
        <v>0</v>
      </c>
      <c r="P129" s="187">
        <f t="shared" si="13"/>
        <v>0</v>
      </c>
      <c r="Q129" s="187">
        <f t="shared" si="13"/>
        <v>0</v>
      </c>
      <c r="R129" s="187">
        <f t="shared" si="13"/>
        <v>0</v>
      </c>
      <c r="S129" s="187">
        <f t="shared" si="13"/>
        <v>0</v>
      </c>
      <c r="T129" s="187">
        <f t="shared" si="13"/>
        <v>0</v>
      </c>
      <c r="U129" s="187">
        <f t="shared" si="13"/>
        <v>0</v>
      </c>
    </row>
    <row r="131" spans="2:23" x14ac:dyDescent="0.25">
      <c r="E131" t="s">
        <v>239</v>
      </c>
      <c r="G131" s="6" t="s">
        <v>55</v>
      </c>
      <c r="H131" s="103">
        <f>H127 + H129</f>
        <v>0</v>
      </c>
    </row>
    <row r="133" spans="2:23" x14ac:dyDescent="0.25">
      <c r="B133" s="30" t="s">
        <v>106</v>
      </c>
      <c r="C133" s="30"/>
      <c r="D133" s="30"/>
      <c r="E133" s="30"/>
      <c r="F133" s="30"/>
      <c r="G133" s="30"/>
      <c r="H133" s="30"/>
      <c r="I133" s="30"/>
      <c r="J133" s="30"/>
      <c r="K133" s="30"/>
      <c r="L133" s="30"/>
      <c r="M133" s="30"/>
      <c r="N133" s="30"/>
      <c r="O133" s="30"/>
      <c r="P133" s="30"/>
      <c r="Q133" s="30"/>
      <c r="R133" s="30"/>
      <c r="S133" s="30"/>
      <c r="T133" s="30"/>
      <c r="U133" s="30"/>
      <c r="V133" s="30"/>
      <c r="W133" s="30"/>
    </row>
  </sheetData>
  <sheetProtection sheet="1" objects="1" formatCells="0" formatColumns="0" formatRows="0" sort="0" autoFilter="0"/>
  <conditionalFormatting sqref="H127">
    <cfRule type="cellIs" dxfId="124" priority="5" operator="greaterThan">
      <formula>0</formula>
    </cfRule>
  </conditionalFormatting>
  <conditionalFormatting sqref="H129">
    <cfRule type="cellIs" dxfId="123" priority="4" operator="greaterThan">
      <formula>0</formula>
    </cfRule>
  </conditionalFormatting>
  <conditionalFormatting sqref="J129:U129">
    <cfRule type="cellIs" dxfId="122" priority="3" operator="greaterThan">
      <formula>0</formula>
    </cfRule>
  </conditionalFormatting>
  <conditionalFormatting sqref="H131:H132">
    <cfRule type="cellIs" dxfId="121" priority="2" operator="greaterThan">
      <formula>0</formula>
    </cfRule>
  </conditionalFormatting>
  <conditionalFormatting sqref="A4:XFD4">
    <cfRule type="expression" dxfId="120"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U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1" width="24.5703125" hidden="1" customWidth="1"/>
    <col min="282" max="16384" width="8.7109375" hidden="1"/>
  </cols>
  <sheetData>
    <row r="1" spans="1:27" s="1" customFormat="1" x14ac:dyDescent="0.25">
      <c r="A1" s="1" t="str">
        <f ca="1">MID(CELL("filename",A1),FIND("]",CELL("filename",A1))+1,255)</f>
        <v>Initial unit rates</v>
      </c>
    </row>
    <row r="2" spans="1:27" s="1" customFormat="1" x14ac:dyDescent="0.25">
      <c r="A2" s="1" t="str">
        <f>Cover!D21&amp;" - "&amp;Cover!D23</f>
        <v>WPD East Midlands - April 21 Prices</v>
      </c>
    </row>
    <row r="3" spans="1:27" s="5" customFormat="1" x14ac:dyDescent="0.25">
      <c r="A3" s="5" t="str">
        <f>Cover!D2&amp;" - "&amp;Cover!D8&amp;" v"&amp;Cover!D10&amp;" - "&amp;Cover!D19</f>
        <v>CDCM charging model - Release for charge setting v5 - 2021/22</v>
      </c>
    </row>
    <row r="4" spans="1:27" x14ac:dyDescent="0.25">
      <c r="A4" s="12" t="str">
        <f>H241 &amp; IF(H241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6" spans="1:27" x14ac:dyDescent="0.25">
      <c r="H6" s="3"/>
      <c r="I6" s="3"/>
      <c r="J6" s="3"/>
      <c r="K6" s="3"/>
      <c r="L6" s="3"/>
      <c r="M6" s="3"/>
      <c r="N6" s="3"/>
      <c r="P6" s="3"/>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611</v>
      </c>
      <c r="E9" s="28"/>
    </row>
    <row r="11" spans="1:27" x14ac:dyDescent="0.25">
      <c r="B11" s="30" t="s">
        <v>612</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row>
    <row r="13" spans="1:27" x14ac:dyDescent="0.25">
      <c r="C13" s="31" t="str">
        <f ca="1">INDEX('Version control'!$H$34:$H$57,MATCH($A$1,'Version control'!$F$34:$F$57,0),1)&amp;"-A: Inputs for yardstick and unit rate calculations"</f>
        <v>Section 109-A: Inputs for yardstick and unit rate calculations</v>
      </c>
      <c r="D13" s="31"/>
      <c r="E13" s="31"/>
      <c r="F13" s="31"/>
      <c r="G13" s="31"/>
      <c r="H13" s="31"/>
      <c r="I13" s="31"/>
      <c r="J13" s="189"/>
      <c r="K13" s="189"/>
      <c r="L13" s="189"/>
      <c r="M13" s="189"/>
      <c r="N13" s="189"/>
      <c r="O13" s="189"/>
      <c r="P13" s="189"/>
      <c r="Q13" s="189"/>
      <c r="R13" s="189"/>
      <c r="S13" s="189"/>
      <c r="T13" s="189"/>
      <c r="U13" s="189"/>
      <c r="V13" s="189"/>
      <c r="W13" s="189"/>
      <c r="X13" s="189"/>
      <c r="Y13" s="189"/>
      <c r="Z13" s="31"/>
      <c r="AA13" s="31"/>
    </row>
    <row r="14" spans="1:27" x14ac:dyDescent="0.25">
      <c r="C14" s="32"/>
      <c r="D14" s="32"/>
      <c r="E14" s="32"/>
      <c r="J14" s="63"/>
      <c r="L14" s="63"/>
    </row>
    <row r="15" spans="1:27" x14ac:dyDescent="0.25">
      <c r="D15" s="29" t="s">
        <v>613</v>
      </c>
    </row>
    <row r="17" spans="5:27" x14ac:dyDescent="0.25">
      <c r="E17" s="32" t="s">
        <v>614</v>
      </c>
      <c r="G17" s="28"/>
      <c r="H17" s="3"/>
      <c r="I17" s="3" t="s">
        <v>154</v>
      </c>
      <c r="AA17" t="s">
        <v>615</v>
      </c>
    </row>
    <row r="18" spans="5:27" x14ac:dyDescent="0.25">
      <c r="F18" s="190" t="s">
        <v>189</v>
      </c>
      <c r="G18" s="64" t="s">
        <v>585</v>
      </c>
      <c r="H18" s="83"/>
    </row>
    <row r="19" spans="5:27" x14ac:dyDescent="0.25">
      <c r="F19" s="191" t="s">
        <v>191</v>
      </c>
      <c r="G19" s="28" t="s">
        <v>585</v>
      </c>
      <c r="H19" s="79"/>
    </row>
    <row r="20" spans="5:27" x14ac:dyDescent="0.25">
      <c r="F20" s="191" t="s">
        <v>192</v>
      </c>
      <c r="G20" s="28" t="s">
        <v>585</v>
      </c>
      <c r="H20" s="194">
        <f t="array" ref="H20:H27">TRANSPOSE('Unit costs'!L114:S114)</f>
        <v>5.3072976336259448</v>
      </c>
    </row>
    <row r="21" spans="5:27" x14ac:dyDescent="0.25">
      <c r="F21" s="191" t="s">
        <v>193</v>
      </c>
      <c r="G21" s="28" t="s">
        <v>585</v>
      </c>
      <c r="H21" s="194">
        <v>3.0069632283721806</v>
      </c>
    </row>
    <row r="22" spans="5:27" x14ac:dyDescent="0.25">
      <c r="F22" s="191" t="s">
        <v>194</v>
      </c>
      <c r="G22" s="28" t="s">
        <v>585</v>
      </c>
      <c r="H22" s="194">
        <v>3.744236265234969</v>
      </c>
    </row>
    <row r="23" spans="5:27" x14ac:dyDescent="0.25">
      <c r="F23" s="191" t="s">
        <v>195</v>
      </c>
      <c r="G23" s="28" t="s">
        <v>585</v>
      </c>
      <c r="H23" s="194">
        <v>6.0590481957424744</v>
      </c>
    </row>
    <row r="24" spans="5:27" x14ac:dyDescent="0.25">
      <c r="F24" s="191" t="s">
        <v>196</v>
      </c>
      <c r="G24" s="28" t="s">
        <v>585</v>
      </c>
      <c r="H24" s="194">
        <v>6.2886236273536662</v>
      </c>
    </row>
    <row r="25" spans="5:27" x14ac:dyDescent="0.25">
      <c r="F25" s="191" t="s">
        <v>197</v>
      </c>
      <c r="G25" s="28" t="s">
        <v>585</v>
      </c>
      <c r="H25" s="194">
        <v>13.113997751870265</v>
      </c>
    </row>
    <row r="26" spans="5:27" x14ac:dyDescent="0.25">
      <c r="F26" s="191" t="s">
        <v>198</v>
      </c>
      <c r="G26" s="28" t="s">
        <v>585</v>
      </c>
      <c r="H26" s="194">
        <v>6.0666985535140832</v>
      </c>
    </row>
    <row r="27" spans="5:27" x14ac:dyDescent="0.25">
      <c r="F27" s="192" t="s">
        <v>199</v>
      </c>
      <c r="G27" s="67" t="s">
        <v>585</v>
      </c>
      <c r="H27" s="195">
        <v>12.450213812197704</v>
      </c>
    </row>
    <row r="28" spans="5:27" x14ac:dyDescent="0.25">
      <c r="F28" s="191"/>
      <c r="G28" s="28"/>
      <c r="H28" s="120"/>
    </row>
    <row r="29" spans="5:27" x14ac:dyDescent="0.25">
      <c r="E29" s="32" t="s">
        <v>616</v>
      </c>
      <c r="G29" s="28"/>
      <c r="H29" s="89"/>
    </row>
    <row r="30" spans="5:27" x14ac:dyDescent="0.25">
      <c r="F30" s="190" t="s">
        <v>189</v>
      </c>
      <c r="G30" s="64" t="s">
        <v>604</v>
      </c>
      <c r="H30" s="193">
        <f t="array" ref="H30:H39">TRANSPOSE('Unit costs'!J115:S115)</f>
        <v>3.0960485692212529</v>
      </c>
    </row>
    <row r="31" spans="5:27" x14ac:dyDescent="0.25">
      <c r="F31" s="191" t="s">
        <v>191</v>
      </c>
      <c r="G31" s="28" t="s">
        <v>604</v>
      </c>
      <c r="H31" s="194">
        <v>0</v>
      </c>
    </row>
    <row r="32" spans="5:27" x14ac:dyDescent="0.25">
      <c r="F32" s="191" t="s">
        <v>192</v>
      </c>
      <c r="G32" s="28" t="s">
        <v>604</v>
      </c>
      <c r="H32" s="194">
        <v>3.3696098564248564</v>
      </c>
    </row>
    <row r="33" spans="5:16" x14ac:dyDescent="0.25">
      <c r="F33" s="191" t="s">
        <v>193</v>
      </c>
      <c r="G33" s="28" t="s">
        <v>604</v>
      </c>
      <c r="H33" s="194">
        <v>1.9091246867396099</v>
      </c>
      <c r="J33" s="63"/>
      <c r="K33" s="63"/>
      <c r="L33" s="63"/>
      <c r="M33" s="63"/>
      <c r="N33" s="63"/>
    </row>
    <row r="34" spans="5:16" x14ac:dyDescent="0.25">
      <c r="F34" s="191" t="s">
        <v>194</v>
      </c>
      <c r="G34" s="28" t="s">
        <v>604</v>
      </c>
      <c r="H34" s="194">
        <v>2.3772202531440612</v>
      </c>
      <c r="J34" s="63"/>
      <c r="K34" s="63"/>
      <c r="L34" s="63"/>
      <c r="M34" s="63"/>
      <c r="N34" s="63"/>
    </row>
    <row r="35" spans="5:16" x14ac:dyDescent="0.25">
      <c r="F35" s="191" t="s">
        <v>195</v>
      </c>
      <c r="G35" s="28" t="s">
        <v>604</v>
      </c>
      <c r="H35" s="194">
        <v>3.8468972215862798</v>
      </c>
      <c r="J35" s="63"/>
      <c r="K35" s="63"/>
      <c r="L35" s="63"/>
      <c r="M35" s="63"/>
      <c r="N35" s="63"/>
    </row>
    <row r="36" spans="5:16" x14ac:dyDescent="0.25">
      <c r="F36" s="191" t="s">
        <v>196</v>
      </c>
      <c r="G36" s="28" t="s">
        <v>604</v>
      </c>
      <c r="H36" s="194">
        <v>3.9926549481265847</v>
      </c>
      <c r="J36" s="63"/>
      <c r="K36" s="63"/>
      <c r="L36" s="63"/>
      <c r="M36" s="63"/>
      <c r="N36" s="63"/>
    </row>
    <row r="37" spans="5:16" x14ac:dyDescent="0.25">
      <c r="F37" s="191" t="s">
        <v>197</v>
      </c>
      <c r="G37" s="28" t="s">
        <v>604</v>
      </c>
      <c r="H37" s="194">
        <v>8.3260934532600359</v>
      </c>
      <c r="J37" s="63"/>
      <c r="K37" s="63"/>
      <c r="L37" s="63"/>
      <c r="M37" s="63"/>
      <c r="N37" s="63"/>
      <c r="O37" s="63"/>
    </row>
    <row r="38" spans="5:16" x14ac:dyDescent="0.25">
      <c r="F38" s="191" t="s">
        <v>198</v>
      </c>
      <c r="G38" s="28" t="s">
        <v>604</v>
      </c>
      <c r="H38" s="194">
        <v>3.8517544432331419</v>
      </c>
      <c r="J38" s="63"/>
      <c r="K38" s="63"/>
      <c r="L38" s="63"/>
      <c r="M38" s="63"/>
      <c r="N38" s="63"/>
      <c r="O38" s="63"/>
    </row>
    <row r="39" spans="5:16" x14ac:dyDescent="0.25">
      <c r="F39" s="192" t="s">
        <v>199</v>
      </c>
      <c r="G39" s="67" t="s">
        <v>604</v>
      </c>
      <c r="H39" s="195">
        <v>7.9046562058959582</v>
      </c>
      <c r="J39" s="63"/>
      <c r="K39" s="63"/>
      <c r="L39" s="63"/>
      <c r="M39" s="63"/>
      <c r="N39" s="63"/>
      <c r="O39" s="63"/>
    </row>
    <row r="40" spans="5:16" x14ac:dyDescent="0.25">
      <c r="G40" s="28"/>
      <c r="H40" s="89"/>
      <c r="J40" s="63"/>
      <c r="K40" s="63"/>
      <c r="L40" s="63"/>
      <c r="M40" s="63"/>
      <c r="N40" s="63"/>
      <c r="O40" s="63"/>
    </row>
    <row r="41" spans="5:16" x14ac:dyDescent="0.25">
      <c r="E41" s="32" t="s">
        <v>617</v>
      </c>
      <c r="F41" s="32"/>
      <c r="H41" s="127"/>
      <c r="I41" s="3"/>
      <c r="J41" s="63"/>
      <c r="K41" s="63"/>
      <c r="L41" s="63"/>
      <c r="M41" s="63"/>
      <c r="N41" s="63"/>
      <c r="O41" s="63"/>
      <c r="P41" s="3"/>
    </row>
    <row r="42" spans="5:16" x14ac:dyDescent="0.25">
      <c r="E42" s="29" t="s">
        <v>618</v>
      </c>
      <c r="F42" s="29"/>
      <c r="H42" s="127"/>
      <c r="I42" s="3"/>
      <c r="J42" s="63"/>
      <c r="K42" s="63"/>
      <c r="L42" s="63"/>
      <c r="M42" s="63"/>
      <c r="N42" s="63"/>
      <c r="O42" s="63"/>
      <c r="P42" s="3"/>
    </row>
    <row r="43" spans="5:16" x14ac:dyDescent="0.25">
      <c r="F43" s="23" t="s">
        <v>189</v>
      </c>
      <c r="G43" s="23" t="s">
        <v>283</v>
      </c>
      <c r="H43" s="124">
        <f t="array" ref="H43:H52">TRANSPOSE('Load &amp; loss characteristics'!J29:S29)</f>
        <v>1</v>
      </c>
      <c r="I43" s="3"/>
      <c r="J43" s="63"/>
      <c r="K43" s="63"/>
      <c r="L43" s="63"/>
      <c r="M43" s="63"/>
      <c r="N43" s="63"/>
      <c r="O43" s="63"/>
    </row>
    <row r="44" spans="5:16" x14ac:dyDescent="0.25">
      <c r="F44" t="s">
        <v>191</v>
      </c>
      <c r="G44" t="s">
        <v>283</v>
      </c>
      <c r="H44" s="120">
        <v>1</v>
      </c>
      <c r="I44" s="3"/>
      <c r="J44" s="63"/>
      <c r="K44" s="63"/>
      <c r="L44" s="63"/>
      <c r="M44" s="63"/>
      <c r="N44" s="63"/>
      <c r="O44" s="63"/>
    </row>
    <row r="45" spans="5:16" x14ac:dyDescent="0.25">
      <c r="F45" t="s">
        <v>192</v>
      </c>
      <c r="G45" t="s">
        <v>283</v>
      </c>
      <c r="H45" s="120">
        <v>1.0029999999999999</v>
      </c>
      <c r="I45" s="3"/>
      <c r="J45" s="63"/>
      <c r="K45" s="63"/>
      <c r="L45" s="63"/>
      <c r="M45" s="63"/>
      <c r="N45" s="63"/>
      <c r="O45" s="63"/>
    </row>
    <row r="46" spans="5:16" x14ac:dyDescent="0.25">
      <c r="F46" t="s">
        <v>193</v>
      </c>
      <c r="G46" t="s">
        <v>283</v>
      </c>
      <c r="H46" s="120">
        <v>1.006</v>
      </c>
      <c r="J46" s="63"/>
      <c r="K46" s="63"/>
      <c r="L46" s="63"/>
      <c r="M46" s="63"/>
      <c r="N46" s="63"/>
      <c r="O46" s="63"/>
    </row>
    <row r="47" spans="5:16" x14ac:dyDescent="0.25">
      <c r="F47" t="s">
        <v>194</v>
      </c>
      <c r="G47" t="s">
        <v>283</v>
      </c>
      <c r="H47" s="120">
        <v>1.014</v>
      </c>
      <c r="I47" s="3"/>
      <c r="J47" s="63"/>
      <c r="K47" s="63"/>
      <c r="L47" s="63"/>
      <c r="M47" s="63"/>
      <c r="N47" s="63"/>
      <c r="O47" s="63"/>
    </row>
    <row r="48" spans="5:16" x14ac:dyDescent="0.25">
      <c r="F48" t="s">
        <v>195</v>
      </c>
      <c r="G48" t="s">
        <v>283</v>
      </c>
      <c r="H48" s="120">
        <v>1.02</v>
      </c>
      <c r="I48" s="3"/>
      <c r="J48" s="63"/>
      <c r="K48" s="63"/>
      <c r="L48" s="63"/>
      <c r="M48" s="63"/>
      <c r="N48" s="63"/>
      <c r="O48" s="63"/>
    </row>
    <row r="49" spans="4:25" x14ac:dyDescent="0.25">
      <c r="F49" t="s">
        <v>196</v>
      </c>
      <c r="G49" t="s">
        <v>283</v>
      </c>
      <c r="H49" s="120">
        <v>1.02</v>
      </c>
      <c r="I49" s="3"/>
      <c r="J49" s="63"/>
      <c r="K49" s="63"/>
      <c r="L49" s="63"/>
      <c r="M49" s="63"/>
      <c r="N49" s="63"/>
      <c r="O49" s="63"/>
    </row>
    <row r="50" spans="4:25" x14ac:dyDescent="0.25">
      <c r="F50" t="s">
        <v>197</v>
      </c>
      <c r="G50" t="s">
        <v>283</v>
      </c>
      <c r="H50" s="120">
        <v>1.036</v>
      </c>
      <c r="J50" s="63"/>
      <c r="K50" s="63"/>
      <c r="L50" s="63"/>
      <c r="M50" s="63"/>
      <c r="N50" s="63"/>
      <c r="O50" s="63"/>
    </row>
    <row r="51" spans="4:25" x14ac:dyDescent="0.25">
      <c r="F51" t="s">
        <v>198</v>
      </c>
      <c r="G51" t="s">
        <v>283</v>
      </c>
      <c r="H51" s="120">
        <v>1.0469999999999999</v>
      </c>
      <c r="I51" s="3"/>
      <c r="J51" s="63"/>
      <c r="K51" s="63"/>
      <c r="L51" s="63"/>
      <c r="M51" s="63"/>
      <c r="N51" s="63"/>
      <c r="O51" s="63"/>
    </row>
    <row r="52" spans="4:25" x14ac:dyDescent="0.25">
      <c r="F52" s="37" t="s">
        <v>199</v>
      </c>
      <c r="G52" s="37" t="s">
        <v>283</v>
      </c>
      <c r="H52" s="125">
        <v>1.0780000000000001</v>
      </c>
      <c r="I52" s="3"/>
      <c r="J52" s="63"/>
      <c r="K52" s="63"/>
      <c r="L52" s="63"/>
      <c r="M52" s="63"/>
      <c r="N52" s="63"/>
      <c r="O52" s="63"/>
    </row>
    <row r="53" spans="4:25" x14ac:dyDescent="0.25">
      <c r="G53" s="28"/>
      <c r="H53" s="3"/>
      <c r="I53" s="3"/>
      <c r="J53" s="63"/>
      <c r="K53" s="63"/>
      <c r="L53" s="63"/>
      <c r="M53" s="63"/>
      <c r="N53" s="63"/>
      <c r="O53" s="63"/>
    </row>
    <row r="54" spans="4:25" x14ac:dyDescent="0.25">
      <c r="E54" s="32" t="s">
        <v>408</v>
      </c>
      <c r="F54" s="32"/>
      <c r="J54" s="63"/>
      <c r="L54" s="63"/>
    </row>
    <row r="55" spans="4:25" x14ac:dyDescent="0.25">
      <c r="D55" s="32"/>
      <c r="E55" s="32"/>
      <c r="F55" s="190" t="s">
        <v>189</v>
      </c>
      <c r="G55" s="23" t="s">
        <v>283</v>
      </c>
      <c r="H55" s="23"/>
      <c r="I55" s="23"/>
      <c r="J55" s="193">
        <f t="array" ref="J55:Y64">TRANSPOSE('Load &amp; loss characteristics'!J145:S160)</f>
        <v>1.0780000000000001</v>
      </c>
      <c r="K55" s="193">
        <v>1.0780000000000001</v>
      </c>
      <c r="L55" s="193">
        <v>1.0780000000000001</v>
      </c>
      <c r="M55" s="193">
        <v>1.0780000000000001</v>
      </c>
      <c r="N55" s="193">
        <v>1.0780000000000001</v>
      </c>
      <c r="O55" s="193">
        <v>1.0469999999999999</v>
      </c>
      <c r="P55" s="193">
        <v>1.036</v>
      </c>
      <c r="Q55" s="193">
        <v>1.0780000000000001</v>
      </c>
      <c r="R55" s="193">
        <v>-1.0780000000000001</v>
      </c>
      <c r="S55" s="193">
        <v>-1.0469999999999999</v>
      </c>
      <c r="T55" s="193">
        <v>-1.0780000000000001</v>
      </c>
      <c r="U55" s="193">
        <v>-1.0780000000000001</v>
      </c>
      <c r="V55" s="193">
        <v>-1.0469999999999999</v>
      </c>
      <c r="W55" s="193">
        <v>-1.0469999999999999</v>
      </c>
      <c r="X55" s="193">
        <v>-1.036</v>
      </c>
      <c r="Y55" s="193">
        <v>-1.036</v>
      </c>
    </row>
    <row r="56" spans="4:25" x14ac:dyDescent="0.25">
      <c r="D56" s="32"/>
      <c r="E56" s="32"/>
      <c r="F56" s="191" t="s">
        <v>191</v>
      </c>
      <c r="G56" t="s">
        <v>283</v>
      </c>
      <c r="J56" s="194">
        <v>1.0780000000000001</v>
      </c>
      <c r="K56" s="194">
        <v>1.0780000000000001</v>
      </c>
      <c r="L56" s="194">
        <v>1.0780000000000001</v>
      </c>
      <c r="M56" s="194">
        <v>1.0780000000000001</v>
      </c>
      <c r="N56" s="194">
        <v>1.0780000000000001</v>
      </c>
      <c r="O56" s="194">
        <v>1.0469999999999999</v>
      </c>
      <c r="P56" s="194">
        <v>1.036</v>
      </c>
      <c r="Q56" s="194">
        <v>1.0780000000000001</v>
      </c>
      <c r="R56" s="194">
        <v>-1.0780000000000001</v>
      </c>
      <c r="S56" s="194">
        <v>-1.0469999999999999</v>
      </c>
      <c r="T56" s="194">
        <v>-1.0780000000000001</v>
      </c>
      <c r="U56" s="194">
        <v>-1.0780000000000001</v>
      </c>
      <c r="V56" s="194">
        <v>-1.0469999999999999</v>
      </c>
      <c r="W56" s="194">
        <v>-1.0469999999999999</v>
      </c>
      <c r="X56" s="194">
        <v>-1.036</v>
      </c>
      <c r="Y56" s="194">
        <v>-1.036</v>
      </c>
    </row>
    <row r="57" spans="4:25" x14ac:dyDescent="0.25">
      <c r="D57" s="32"/>
      <c r="E57" s="32"/>
      <c r="F57" s="191" t="s">
        <v>192</v>
      </c>
      <c r="G57" t="s">
        <v>283</v>
      </c>
      <c r="J57" s="194">
        <v>1.0780000000000001</v>
      </c>
      <c r="K57" s="194">
        <v>1.0780000000000001</v>
      </c>
      <c r="L57" s="194">
        <v>1.0780000000000001</v>
      </c>
      <c r="M57" s="194">
        <v>1.0780000000000001</v>
      </c>
      <c r="N57" s="194">
        <v>1.0780000000000001</v>
      </c>
      <c r="O57" s="194">
        <v>1.0469999999999999</v>
      </c>
      <c r="P57" s="194">
        <v>1.036</v>
      </c>
      <c r="Q57" s="194">
        <v>1.0780000000000001</v>
      </c>
      <c r="R57" s="194">
        <v>-1.0780000000000001</v>
      </c>
      <c r="S57" s="194">
        <v>-1.0469999999999999</v>
      </c>
      <c r="T57" s="194">
        <v>-1.0780000000000001</v>
      </c>
      <c r="U57" s="194">
        <v>-1.0780000000000001</v>
      </c>
      <c r="V57" s="194">
        <v>-1.0469999999999999</v>
      </c>
      <c r="W57" s="194">
        <v>-1.0469999999999999</v>
      </c>
      <c r="X57" s="194">
        <v>-1.036</v>
      </c>
      <c r="Y57" s="194">
        <v>-1.036</v>
      </c>
    </row>
    <row r="58" spans="4:25" x14ac:dyDescent="0.25">
      <c r="D58" s="32"/>
      <c r="E58" s="32"/>
      <c r="F58" s="191" t="s">
        <v>193</v>
      </c>
      <c r="G58" t="s">
        <v>283</v>
      </c>
      <c r="J58" s="194">
        <v>0.99710219855719762</v>
      </c>
      <c r="K58" s="194">
        <v>0.99710219855719762</v>
      </c>
      <c r="L58" s="194">
        <v>0.99710219855719762</v>
      </c>
      <c r="M58" s="194">
        <v>0.99710219855719762</v>
      </c>
      <c r="N58" s="194">
        <v>0.99710219855719762</v>
      </c>
      <c r="O58" s="194">
        <v>0.96842857318124842</v>
      </c>
      <c r="P58" s="194">
        <v>0.95825406095107302</v>
      </c>
      <c r="Q58" s="194">
        <v>0.99710219855719762</v>
      </c>
      <c r="R58" s="194">
        <v>-0.99710219855719762</v>
      </c>
      <c r="S58" s="194">
        <v>-0.96842857318124842</v>
      </c>
      <c r="T58" s="194">
        <v>-0.99710219855719762</v>
      </c>
      <c r="U58" s="194">
        <v>-0.99710219855719762</v>
      </c>
      <c r="V58" s="194">
        <v>-0.96842857318124842</v>
      </c>
      <c r="W58" s="194">
        <v>-0.96842857318124842</v>
      </c>
      <c r="X58" s="194">
        <v>-0.95825406095107302</v>
      </c>
      <c r="Y58" s="194">
        <v>-0.95825406095107302</v>
      </c>
    </row>
    <row r="59" spans="4:25" x14ac:dyDescent="0.25">
      <c r="D59" s="32"/>
      <c r="E59" s="32"/>
      <c r="F59" s="191" t="s">
        <v>194</v>
      </c>
      <c r="G59" t="s">
        <v>283</v>
      </c>
      <c r="J59" s="194">
        <v>0.99710219855719762</v>
      </c>
      <c r="K59" s="194">
        <v>0.99710219855719762</v>
      </c>
      <c r="L59" s="194">
        <v>0.99710219855719762</v>
      </c>
      <c r="M59" s="194">
        <v>0.99710219855719762</v>
      </c>
      <c r="N59" s="194">
        <v>0.99710219855719762</v>
      </c>
      <c r="O59" s="194">
        <v>0.96842857318124842</v>
      </c>
      <c r="P59" s="194">
        <v>0.95825406095107302</v>
      </c>
      <c r="Q59" s="194">
        <v>0.99710219855719762</v>
      </c>
      <c r="R59" s="194">
        <v>-0.99710219855719762</v>
      </c>
      <c r="S59" s="194">
        <v>-0.96842857318124842</v>
      </c>
      <c r="T59" s="194">
        <v>-0.99710219855719762</v>
      </c>
      <c r="U59" s="194">
        <v>-0.99710219855719762</v>
      </c>
      <c r="V59" s="194">
        <v>-0.96842857318124842</v>
      </c>
      <c r="W59" s="194">
        <v>-0.96842857318124842</v>
      </c>
      <c r="X59" s="194">
        <v>-0.95825406095107302</v>
      </c>
      <c r="Y59" s="194">
        <v>-0.95825406095107302</v>
      </c>
    </row>
    <row r="60" spans="4:25" x14ac:dyDescent="0.25">
      <c r="D60" s="32"/>
      <c r="E60" s="32"/>
      <c r="F60" s="191" t="s">
        <v>195</v>
      </c>
      <c r="G60" t="s">
        <v>283</v>
      </c>
      <c r="J60" s="194">
        <v>0.99710219855719762</v>
      </c>
      <c r="K60" s="194">
        <v>0.99710219855719762</v>
      </c>
      <c r="L60" s="194">
        <v>0.99710219855719762</v>
      </c>
      <c r="M60" s="194">
        <v>0.99710219855719762</v>
      </c>
      <c r="N60" s="194">
        <v>0.99710219855719762</v>
      </c>
      <c r="O60" s="194">
        <v>0.96842857318124842</v>
      </c>
      <c r="P60" s="194">
        <v>0.95825406095107302</v>
      </c>
      <c r="Q60" s="194">
        <v>0.99710219855719762</v>
      </c>
      <c r="R60" s="194">
        <v>-0.99710219855719762</v>
      </c>
      <c r="S60" s="194">
        <v>-0.96842857318124842</v>
      </c>
      <c r="T60" s="194">
        <v>-0.99710219855719762</v>
      </c>
      <c r="U60" s="194">
        <v>-0.99710219855719762</v>
      </c>
      <c r="V60" s="194">
        <v>-0.96842857318124842</v>
      </c>
      <c r="W60" s="194">
        <v>-0.96842857318124842</v>
      </c>
      <c r="X60" s="194">
        <v>-0.95825406095107302</v>
      </c>
      <c r="Y60" s="194">
        <v>-0.95825406095107302</v>
      </c>
    </row>
    <row r="61" spans="4:25" x14ac:dyDescent="0.25">
      <c r="D61" s="32"/>
      <c r="E61" s="32"/>
      <c r="F61" s="191" t="s">
        <v>196</v>
      </c>
      <c r="G61" t="s">
        <v>283</v>
      </c>
      <c r="J61" s="194">
        <v>8.0897801442802481E-2</v>
      </c>
      <c r="K61" s="194">
        <v>8.0897801442802481E-2</v>
      </c>
      <c r="L61" s="194">
        <v>8.0897801442802481E-2</v>
      </c>
      <c r="M61" s="194">
        <v>8.0897801442802481E-2</v>
      </c>
      <c r="N61" s="194">
        <v>8.0897801442802481E-2</v>
      </c>
      <c r="O61" s="194">
        <v>7.8571426818751552E-2</v>
      </c>
      <c r="P61" s="194">
        <v>7.7745939048927057E-2</v>
      </c>
      <c r="Q61" s="194">
        <v>8.0897801442802481E-2</v>
      </c>
      <c r="R61" s="194">
        <v>-8.0897801442802481E-2</v>
      </c>
      <c r="S61" s="194">
        <v>-7.8571426818751552E-2</v>
      </c>
      <c r="T61" s="194">
        <v>-8.0897801442802481E-2</v>
      </c>
      <c r="U61" s="194">
        <v>-8.0897801442802481E-2</v>
      </c>
      <c r="V61" s="194">
        <v>-7.8571426818751552E-2</v>
      </c>
      <c r="W61" s="194">
        <v>-7.8571426818751552E-2</v>
      </c>
      <c r="X61" s="194">
        <v>-7.7745939048927057E-2</v>
      </c>
      <c r="Y61" s="194">
        <v>-7.7745939048927057E-2</v>
      </c>
    </row>
    <row r="62" spans="4:25" x14ac:dyDescent="0.25">
      <c r="D62" s="32"/>
      <c r="E62" s="32"/>
      <c r="F62" s="191" t="s">
        <v>197</v>
      </c>
      <c r="G62" t="s">
        <v>283</v>
      </c>
      <c r="J62" s="194">
        <v>1.0780000000000001</v>
      </c>
      <c r="K62" s="194">
        <v>1.0780000000000001</v>
      </c>
      <c r="L62" s="194">
        <v>1.0780000000000001</v>
      </c>
      <c r="M62" s="194">
        <v>1.0780000000000001</v>
      </c>
      <c r="N62" s="194">
        <v>1.0780000000000001</v>
      </c>
      <c r="O62" s="194">
        <v>1.0469999999999999</v>
      </c>
      <c r="P62" s="194">
        <v>1.036</v>
      </c>
      <c r="Q62" s="194">
        <v>1.0780000000000001</v>
      </c>
      <c r="R62" s="194">
        <v>-1.0780000000000001</v>
      </c>
      <c r="S62" s="194">
        <v>-1.0469999999999999</v>
      </c>
      <c r="T62" s="194">
        <v>-1.0780000000000001</v>
      </c>
      <c r="U62" s="194">
        <v>-1.0780000000000001</v>
      </c>
      <c r="V62" s="194">
        <v>-1.0469999999999999</v>
      </c>
      <c r="W62" s="194">
        <v>-1.0469999999999999</v>
      </c>
      <c r="X62" s="194">
        <v>0</v>
      </c>
      <c r="Y62" s="194">
        <v>0</v>
      </c>
    </row>
    <row r="63" spans="4:25" x14ac:dyDescent="0.25">
      <c r="D63" s="32"/>
      <c r="E63" s="32"/>
      <c r="F63" s="191" t="s">
        <v>198</v>
      </c>
      <c r="G63" t="s">
        <v>283</v>
      </c>
      <c r="J63" s="194">
        <v>1.0780000000000001</v>
      </c>
      <c r="K63" s="194">
        <v>1.0780000000000001</v>
      </c>
      <c r="L63" s="194">
        <v>1.0780000000000001</v>
      </c>
      <c r="M63" s="194">
        <v>1.0780000000000001</v>
      </c>
      <c r="N63" s="194">
        <v>1.0780000000000001</v>
      </c>
      <c r="O63" s="194">
        <v>1.0469999999999999</v>
      </c>
      <c r="P63" s="194">
        <v>0</v>
      </c>
      <c r="Q63" s="194">
        <v>1.0780000000000001</v>
      </c>
      <c r="R63" s="194">
        <v>-1.0780000000000001</v>
      </c>
      <c r="S63" s="194">
        <v>0</v>
      </c>
      <c r="T63" s="194">
        <v>-1.0780000000000001</v>
      </c>
      <c r="U63" s="194">
        <v>-1.0780000000000001</v>
      </c>
      <c r="V63" s="194">
        <v>0</v>
      </c>
      <c r="W63" s="194">
        <v>0</v>
      </c>
      <c r="X63" s="194">
        <v>0</v>
      </c>
      <c r="Y63" s="194">
        <v>0</v>
      </c>
    </row>
    <row r="64" spans="4:25" x14ac:dyDescent="0.25">
      <c r="D64" s="32"/>
      <c r="E64" s="32"/>
      <c r="F64" s="192" t="s">
        <v>199</v>
      </c>
      <c r="G64" s="37" t="s">
        <v>283</v>
      </c>
      <c r="H64" s="37"/>
      <c r="I64" s="37"/>
      <c r="J64" s="195">
        <v>1.0780000000000001</v>
      </c>
      <c r="K64" s="195">
        <v>1.0780000000000001</v>
      </c>
      <c r="L64" s="195">
        <v>1.0780000000000001</v>
      </c>
      <c r="M64" s="195">
        <v>1.0780000000000001</v>
      </c>
      <c r="N64" s="195">
        <v>1.0780000000000001</v>
      </c>
      <c r="O64" s="195">
        <v>0</v>
      </c>
      <c r="P64" s="195">
        <v>0</v>
      </c>
      <c r="Q64" s="195">
        <v>1.0780000000000001</v>
      </c>
      <c r="R64" s="195">
        <v>0</v>
      </c>
      <c r="S64" s="195">
        <v>0</v>
      </c>
      <c r="T64" s="195">
        <v>0</v>
      </c>
      <c r="U64" s="195">
        <v>0</v>
      </c>
      <c r="V64" s="195">
        <v>0</v>
      </c>
      <c r="W64" s="195">
        <v>0</v>
      </c>
      <c r="X64" s="195">
        <v>0</v>
      </c>
      <c r="Y64" s="195">
        <v>0</v>
      </c>
    </row>
    <row r="65" spans="3:25" x14ac:dyDescent="0.25">
      <c r="D65" s="32"/>
      <c r="E65" s="32"/>
      <c r="J65" s="163"/>
      <c r="K65" s="163"/>
      <c r="L65" s="163"/>
      <c r="M65" s="163"/>
      <c r="N65" s="163"/>
      <c r="O65" s="163"/>
      <c r="P65" s="163"/>
      <c r="Q65" s="163"/>
      <c r="R65" s="163"/>
      <c r="S65" s="163"/>
      <c r="T65" s="163"/>
      <c r="U65" s="163"/>
      <c r="V65" s="163"/>
      <c r="W65" s="163"/>
      <c r="X65" s="163"/>
      <c r="Y65" s="163"/>
    </row>
    <row r="66" spans="3:25" x14ac:dyDescent="0.25">
      <c r="E66" s="32" t="s">
        <v>416</v>
      </c>
      <c r="J66" s="163"/>
      <c r="K66" s="163"/>
      <c r="L66" s="163"/>
      <c r="M66" s="163"/>
      <c r="N66" s="163"/>
      <c r="O66" s="163"/>
      <c r="P66" s="163"/>
      <c r="Q66" s="163"/>
      <c r="R66" s="163"/>
      <c r="S66" s="163"/>
      <c r="T66" s="163"/>
      <c r="U66" s="163"/>
      <c r="V66" s="163"/>
      <c r="W66" s="163"/>
      <c r="X66" s="163"/>
      <c r="Y66" s="163"/>
    </row>
    <row r="67" spans="3:25" x14ac:dyDescent="0.25">
      <c r="D67" s="32"/>
      <c r="E67" s="32"/>
      <c r="F67" s="190" t="s">
        <v>189</v>
      </c>
      <c r="G67" s="64" t="s">
        <v>167</v>
      </c>
      <c r="H67" s="23"/>
      <c r="I67" s="23"/>
      <c r="J67" s="196"/>
      <c r="K67" s="196"/>
      <c r="L67" s="196"/>
      <c r="M67" s="196"/>
      <c r="N67" s="196"/>
      <c r="O67" s="196"/>
      <c r="P67" s="196"/>
      <c r="Q67" s="196"/>
      <c r="R67" s="196"/>
      <c r="S67" s="196"/>
      <c r="T67" s="196"/>
      <c r="U67" s="196"/>
      <c r="V67" s="196"/>
      <c r="W67" s="196"/>
      <c r="X67" s="196"/>
      <c r="Y67" s="196"/>
    </row>
    <row r="68" spans="3:25" x14ac:dyDescent="0.25">
      <c r="D68" s="32"/>
      <c r="E68" s="32"/>
      <c r="F68" s="191" t="s">
        <v>191</v>
      </c>
      <c r="G68" s="28" t="s">
        <v>167</v>
      </c>
      <c r="J68" s="197"/>
      <c r="K68" s="197"/>
      <c r="L68" s="197"/>
      <c r="M68" s="197"/>
      <c r="N68" s="197"/>
      <c r="O68" s="197"/>
      <c r="P68" s="197"/>
      <c r="Q68" s="197"/>
      <c r="R68" s="197"/>
      <c r="S68" s="197"/>
      <c r="T68" s="197"/>
      <c r="U68" s="197"/>
      <c r="V68" s="197"/>
      <c r="W68" s="197"/>
      <c r="X68" s="197"/>
      <c r="Y68" s="197"/>
    </row>
    <row r="69" spans="3:25" x14ac:dyDescent="0.25">
      <c r="D69" s="32"/>
      <c r="E69" s="32"/>
      <c r="F69" s="191" t="s">
        <v>192</v>
      </c>
      <c r="G69" s="28" t="s">
        <v>167</v>
      </c>
      <c r="J69" s="194">
        <f t="array" ref="J69:Y76">TRANSPOSE('Customer contributions'!L51:S66)</f>
        <v>0</v>
      </c>
      <c r="K69" s="194">
        <v>0</v>
      </c>
      <c r="L69" s="194">
        <v>0</v>
      </c>
      <c r="M69" s="194">
        <v>0</v>
      </c>
      <c r="N69" s="194">
        <v>0</v>
      </c>
      <c r="O69" s="194">
        <v>0</v>
      </c>
      <c r="P69" s="194">
        <v>0</v>
      </c>
      <c r="Q69" s="194">
        <v>0</v>
      </c>
      <c r="R69" s="194">
        <v>0</v>
      </c>
      <c r="S69" s="194">
        <v>0</v>
      </c>
      <c r="T69" s="194">
        <v>0</v>
      </c>
      <c r="U69" s="194">
        <v>0</v>
      </c>
      <c r="V69" s="194">
        <v>0</v>
      </c>
      <c r="W69" s="194">
        <v>0</v>
      </c>
      <c r="X69" s="194">
        <v>0</v>
      </c>
      <c r="Y69" s="194">
        <v>0</v>
      </c>
    </row>
    <row r="70" spans="3:25" x14ac:dyDescent="0.25">
      <c r="D70" s="32"/>
      <c r="E70" s="32"/>
      <c r="F70" s="191" t="s">
        <v>193</v>
      </c>
      <c r="G70" s="28" t="s">
        <v>167</v>
      </c>
      <c r="J70" s="194">
        <v>0</v>
      </c>
      <c r="K70" s="194">
        <v>0</v>
      </c>
      <c r="L70" s="194">
        <v>0</v>
      </c>
      <c r="M70" s="194">
        <v>0</v>
      </c>
      <c r="N70" s="194">
        <v>0</v>
      </c>
      <c r="O70" s="194">
        <v>0</v>
      </c>
      <c r="P70" s="194">
        <v>0</v>
      </c>
      <c r="Q70" s="194">
        <v>0</v>
      </c>
      <c r="R70" s="194">
        <v>0</v>
      </c>
      <c r="S70" s="194">
        <v>0</v>
      </c>
      <c r="T70" s="194">
        <v>0</v>
      </c>
      <c r="U70" s="194">
        <v>0</v>
      </c>
      <c r="V70" s="194">
        <v>0</v>
      </c>
      <c r="W70" s="194">
        <v>0</v>
      </c>
      <c r="X70" s="194">
        <v>0</v>
      </c>
      <c r="Y70" s="194">
        <v>0</v>
      </c>
    </row>
    <row r="71" spans="3:25" x14ac:dyDescent="0.25">
      <c r="D71" s="32"/>
      <c r="E71" s="32"/>
      <c r="F71" s="191" t="s">
        <v>194</v>
      </c>
      <c r="G71" s="28" t="s">
        <v>167</v>
      </c>
      <c r="J71" s="194">
        <v>0</v>
      </c>
      <c r="K71" s="194">
        <v>0</v>
      </c>
      <c r="L71" s="194">
        <v>0</v>
      </c>
      <c r="M71" s="194">
        <v>0</v>
      </c>
      <c r="N71" s="194">
        <v>0</v>
      </c>
      <c r="O71" s="194">
        <v>0</v>
      </c>
      <c r="P71" s="194">
        <v>6.5420049562801799E-2</v>
      </c>
      <c r="Q71" s="194">
        <v>0</v>
      </c>
      <c r="R71" s="194">
        <v>0</v>
      </c>
      <c r="S71" s="194">
        <v>0</v>
      </c>
      <c r="T71" s="194">
        <v>0</v>
      </c>
      <c r="U71" s="194">
        <v>0</v>
      </c>
      <c r="V71" s="194">
        <v>0</v>
      </c>
      <c r="W71" s="194">
        <v>0</v>
      </c>
      <c r="X71" s="194">
        <v>6.5420049562801799E-2</v>
      </c>
      <c r="Y71" s="194">
        <v>6.5420049562801799E-2</v>
      </c>
    </row>
    <row r="72" spans="3:25" x14ac:dyDescent="0.25">
      <c r="D72" s="32"/>
      <c r="E72" s="32"/>
      <c r="F72" s="191" t="s">
        <v>195</v>
      </c>
      <c r="G72" s="28" t="s">
        <v>167</v>
      </c>
      <c r="J72" s="194">
        <v>0</v>
      </c>
      <c r="K72" s="194">
        <v>0</v>
      </c>
      <c r="L72" s="194">
        <v>0</v>
      </c>
      <c r="M72" s="194">
        <v>0</v>
      </c>
      <c r="N72" s="194">
        <v>0</v>
      </c>
      <c r="O72" s="194">
        <v>0</v>
      </c>
      <c r="P72" s="194">
        <v>0.35162962287700078</v>
      </c>
      <c r="Q72" s="194">
        <v>0</v>
      </c>
      <c r="R72" s="194">
        <v>0</v>
      </c>
      <c r="S72" s="194">
        <v>0</v>
      </c>
      <c r="T72" s="194">
        <v>0</v>
      </c>
      <c r="U72" s="194">
        <v>0</v>
      </c>
      <c r="V72" s="194">
        <v>0</v>
      </c>
      <c r="W72" s="194">
        <v>0</v>
      </c>
      <c r="X72" s="194">
        <v>0.35162962287700078</v>
      </c>
      <c r="Y72" s="194">
        <v>0.35162962287700078</v>
      </c>
    </row>
    <row r="73" spans="3:25" x14ac:dyDescent="0.25">
      <c r="D73" s="32"/>
      <c r="E73" s="32"/>
      <c r="F73" s="191" t="s">
        <v>196</v>
      </c>
      <c r="G73" s="28" t="s">
        <v>167</v>
      </c>
      <c r="J73" s="194">
        <v>0</v>
      </c>
      <c r="K73" s="194">
        <v>0</v>
      </c>
      <c r="L73" s="194">
        <v>0</v>
      </c>
      <c r="M73" s="194">
        <v>0</v>
      </c>
      <c r="N73" s="194">
        <v>0</v>
      </c>
      <c r="O73" s="194">
        <v>0</v>
      </c>
      <c r="P73" s="194">
        <v>0.35162962287700078</v>
      </c>
      <c r="Q73" s="194">
        <v>0</v>
      </c>
      <c r="R73" s="194">
        <v>0</v>
      </c>
      <c r="S73" s="194">
        <v>0</v>
      </c>
      <c r="T73" s="194">
        <v>0</v>
      </c>
      <c r="U73" s="194">
        <v>0</v>
      </c>
      <c r="V73" s="194">
        <v>0</v>
      </c>
      <c r="W73" s="194">
        <v>0</v>
      </c>
      <c r="X73" s="194">
        <v>0.35162962287700078</v>
      </c>
      <c r="Y73" s="194">
        <v>0.35162962287700078</v>
      </c>
    </row>
    <row r="74" spans="3:25" x14ac:dyDescent="0.25">
      <c r="D74" s="32"/>
      <c r="E74" s="32"/>
      <c r="F74" s="191" t="s">
        <v>197</v>
      </c>
      <c r="G74" s="28" t="s">
        <v>167</v>
      </c>
      <c r="J74" s="194">
        <v>0.47913351897273304</v>
      </c>
      <c r="K74" s="194">
        <v>0.47913351897273304</v>
      </c>
      <c r="L74" s="194">
        <v>0.47913351897273304</v>
      </c>
      <c r="M74" s="194">
        <v>0.47913351897273304</v>
      </c>
      <c r="N74" s="194">
        <v>0.47913351897273304</v>
      </c>
      <c r="O74" s="194">
        <v>0.47913351897273304</v>
      </c>
      <c r="P74" s="194">
        <v>0.63783919619119978</v>
      </c>
      <c r="Q74" s="194">
        <v>0.47913351897273304</v>
      </c>
      <c r="R74" s="194">
        <v>0.47913351897273304</v>
      </c>
      <c r="S74" s="194">
        <v>0.47913351897273304</v>
      </c>
      <c r="T74" s="194">
        <v>0.47913351897273304</v>
      </c>
      <c r="U74" s="194">
        <v>0.47913351897273304</v>
      </c>
      <c r="V74" s="194">
        <v>0.47913351897273304</v>
      </c>
      <c r="W74" s="194">
        <v>0.47913351897273304</v>
      </c>
      <c r="X74" s="194">
        <v>0.63783919619119978</v>
      </c>
      <c r="Y74" s="194">
        <v>0.63783919619119978</v>
      </c>
    </row>
    <row r="75" spans="3:25" x14ac:dyDescent="0.25">
      <c r="D75" s="32"/>
      <c r="E75" s="32"/>
      <c r="F75" s="191" t="s">
        <v>198</v>
      </c>
      <c r="G75" s="28" t="s">
        <v>167</v>
      </c>
      <c r="J75" s="194">
        <v>0.70892384564689981</v>
      </c>
      <c r="K75" s="194">
        <v>0.70892384564689981</v>
      </c>
      <c r="L75" s="194">
        <v>0.70892384564689981</v>
      </c>
      <c r="M75" s="194">
        <v>0.70892384564689981</v>
      </c>
      <c r="N75" s="194">
        <v>0.70892384564689981</v>
      </c>
      <c r="O75" s="194">
        <v>0.70892384564689981</v>
      </c>
      <c r="P75" s="194">
        <v>0</v>
      </c>
      <c r="Q75" s="194">
        <v>0.70892384564689981</v>
      </c>
      <c r="R75" s="194">
        <v>0.70892384564689981</v>
      </c>
      <c r="S75" s="194">
        <v>0.70892384564689981</v>
      </c>
      <c r="T75" s="194">
        <v>0.70892384564689981</v>
      </c>
      <c r="U75" s="194">
        <v>0.70892384564689981</v>
      </c>
      <c r="V75" s="194">
        <v>0.70892384564689981</v>
      </c>
      <c r="W75" s="194">
        <v>0.70892384564689981</v>
      </c>
      <c r="X75" s="194">
        <v>0</v>
      </c>
      <c r="Y75" s="194">
        <v>0</v>
      </c>
    </row>
    <row r="76" spans="3:25" x14ac:dyDescent="0.25">
      <c r="D76" s="32"/>
      <c r="E76" s="32"/>
      <c r="F76" s="192" t="s">
        <v>199</v>
      </c>
      <c r="G76" s="67" t="s">
        <v>167</v>
      </c>
      <c r="H76" s="37"/>
      <c r="I76" s="37"/>
      <c r="J76" s="195">
        <v>0.93871417232106646</v>
      </c>
      <c r="K76" s="195">
        <v>0.93871417232106646</v>
      </c>
      <c r="L76" s="195">
        <v>0.93871417232106646</v>
      </c>
      <c r="M76" s="195">
        <v>0.93871417232106646</v>
      </c>
      <c r="N76" s="195">
        <v>0.93871417232106646</v>
      </c>
      <c r="O76" s="195">
        <v>0</v>
      </c>
      <c r="P76" s="195">
        <v>0</v>
      </c>
      <c r="Q76" s="195">
        <v>0.93871417232106646</v>
      </c>
      <c r="R76" s="195">
        <v>0.93871417232106646</v>
      </c>
      <c r="S76" s="195">
        <v>0</v>
      </c>
      <c r="T76" s="195">
        <v>0.93871417232106646</v>
      </c>
      <c r="U76" s="195">
        <v>0.93871417232106646</v>
      </c>
      <c r="V76" s="195">
        <v>0</v>
      </c>
      <c r="W76" s="195">
        <v>0</v>
      </c>
      <c r="X76" s="195">
        <v>0</v>
      </c>
      <c r="Y76" s="195">
        <v>0</v>
      </c>
    </row>
    <row r="77" spans="3:25" x14ac:dyDescent="0.25">
      <c r="C77" s="32"/>
      <c r="D77" s="32"/>
      <c r="J77" s="163"/>
      <c r="K77" s="163"/>
      <c r="L77" s="163"/>
      <c r="M77" s="163"/>
      <c r="N77" s="163"/>
      <c r="O77" s="163"/>
      <c r="P77" s="163"/>
      <c r="Q77" s="163"/>
      <c r="R77" s="163"/>
      <c r="S77" s="163"/>
      <c r="T77" s="163"/>
      <c r="U77" s="163"/>
      <c r="V77" s="163"/>
      <c r="W77" s="163"/>
      <c r="X77" s="163"/>
      <c r="Y77" s="163"/>
    </row>
    <row r="78" spans="3:25" x14ac:dyDescent="0.25">
      <c r="E78" s="28" t="s">
        <v>472</v>
      </c>
      <c r="F78" s="28"/>
      <c r="G78" s="28" t="s">
        <v>283</v>
      </c>
      <c r="J78" s="194">
        <f>'Pseudo-load coefficients'!J267</f>
        <v>2.0934188731288632</v>
      </c>
      <c r="K78" s="194">
        <f>'Pseudo-load coefficients'!K267</f>
        <v>0</v>
      </c>
      <c r="L78" s="194">
        <f>'Pseudo-load coefficients'!L267</f>
        <v>1.6648446705242654</v>
      </c>
      <c r="M78" s="194">
        <f>'Pseudo-load coefficients'!M267</f>
        <v>0</v>
      </c>
      <c r="N78" s="194">
        <f>'Pseudo-load coefficients'!N267</f>
        <v>1.3890708860735264</v>
      </c>
      <c r="O78" s="194">
        <f>'Pseudo-load coefficients'!O267</f>
        <v>1.3904412843511615</v>
      </c>
      <c r="P78" s="194">
        <f>'Pseudo-load coefficients'!P267</f>
        <v>1.1138804539870646</v>
      </c>
      <c r="Q78" s="194">
        <f>'Pseudo-load coefficients'!Q267</f>
        <v>1.9103917367909291</v>
      </c>
      <c r="R78" s="194">
        <f>'Pseudo-load coefficients'!R267</f>
        <v>1</v>
      </c>
      <c r="S78" s="194">
        <f>'Pseudo-load coefficients'!S267</f>
        <v>1</v>
      </c>
      <c r="T78" s="194">
        <f>'Pseudo-load coefficients'!T267</f>
        <v>1</v>
      </c>
      <c r="U78" s="194">
        <f>'Pseudo-load coefficients'!U267</f>
        <v>1</v>
      </c>
      <c r="V78" s="194">
        <f>'Pseudo-load coefficients'!V267</f>
        <v>1</v>
      </c>
      <c r="W78" s="194">
        <f>'Pseudo-load coefficients'!W267</f>
        <v>1</v>
      </c>
      <c r="X78" s="194">
        <f>'Pseudo-load coefficients'!X267</f>
        <v>1</v>
      </c>
      <c r="Y78" s="194">
        <f>'Pseudo-load coefficients'!Y267</f>
        <v>1</v>
      </c>
    </row>
    <row r="79" spans="3:25" x14ac:dyDescent="0.25">
      <c r="D79" s="32"/>
      <c r="J79" s="163"/>
      <c r="K79" s="163"/>
      <c r="L79" s="163"/>
      <c r="M79" s="163"/>
      <c r="N79" s="163"/>
      <c r="O79" s="163"/>
      <c r="P79" s="163"/>
      <c r="Q79" s="163"/>
      <c r="R79" s="163"/>
      <c r="S79" s="163"/>
      <c r="T79" s="163"/>
      <c r="U79" s="163"/>
      <c r="V79" s="163"/>
      <c r="W79" s="163"/>
      <c r="X79" s="163"/>
      <c r="Y79" s="163"/>
    </row>
    <row r="80" spans="3:25" x14ac:dyDescent="0.25">
      <c r="E80" s="32" t="s">
        <v>507</v>
      </c>
      <c r="J80" s="163"/>
      <c r="K80" s="163"/>
      <c r="L80" s="163"/>
      <c r="M80" s="163"/>
      <c r="N80" s="163"/>
      <c r="O80" s="163"/>
      <c r="P80" s="163"/>
      <c r="Q80" s="163"/>
      <c r="R80" s="163"/>
      <c r="S80" s="163"/>
      <c r="T80" s="163"/>
      <c r="U80" s="163"/>
      <c r="V80" s="163"/>
      <c r="W80" s="163"/>
      <c r="X80" s="163"/>
      <c r="Y80" s="163"/>
    </row>
    <row r="81" spans="5:25" x14ac:dyDescent="0.25">
      <c r="E81" s="32"/>
      <c r="F81" s="190" t="s">
        <v>189</v>
      </c>
      <c r="G81" s="64" t="s">
        <v>283</v>
      </c>
      <c r="H81" s="23"/>
      <c r="I81" s="23"/>
      <c r="J81" s="193">
        <f>'Pseudo-load coefficients'!J272</f>
        <v>16.002818503405528</v>
      </c>
      <c r="K81" s="193">
        <f>'Pseudo-load coefficients'!K272</f>
        <v>16.002818503405528</v>
      </c>
      <c r="L81" s="193">
        <f>'Pseudo-load coefficients'!L272</f>
        <v>13.862179208737285</v>
      </c>
      <c r="M81" s="193">
        <f>'Pseudo-load coefficients'!M272</f>
        <v>13.862179208737285</v>
      </c>
      <c r="N81" s="193">
        <f>'Pseudo-load coefficients'!N272</f>
        <v>11.784149480233719</v>
      </c>
      <c r="O81" s="193">
        <f>'Pseudo-load coefficients'!O272</f>
        <v>10.841386472217369</v>
      </c>
      <c r="P81" s="193">
        <f>'Pseudo-load coefficients'!P272</f>
        <v>9.875970399429038</v>
      </c>
      <c r="Q81" s="193">
        <f>'Pseudo-load coefficients'!Q272</f>
        <v>31.50593585154451</v>
      </c>
      <c r="R81" s="193">
        <f>'Pseudo-load coefficients'!R272</f>
        <v>9.66398982153828</v>
      </c>
      <c r="S81" s="193">
        <f>'Pseudo-load coefficients'!S272</f>
        <v>9.66398982153828</v>
      </c>
      <c r="T81" s="193">
        <f>'Pseudo-load coefficients'!T272</f>
        <v>9.66398982153828</v>
      </c>
      <c r="U81" s="193">
        <f>'Pseudo-load coefficients'!U272</f>
        <v>9.66398982153828</v>
      </c>
      <c r="V81" s="193">
        <f>'Pseudo-load coefficients'!V272</f>
        <v>9.66398982153828</v>
      </c>
      <c r="W81" s="193">
        <f>'Pseudo-load coefficients'!W272</f>
        <v>9.66398982153828</v>
      </c>
      <c r="X81" s="193">
        <f>'Pseudo-load coefficients'!X272</f>
        <v>9.66398982153828</v>
      </c>
      <c r="Y81" s="193">
        <f>'Pseudo-load coefficients'!Y272</f>
        <v>9.66398982153828</v>
      </c>
    </row>
    <row r="82" spans="5:25" x14ac:dyDescent="0.25">
      <c r="E82" s="32"/>
      <c r="F82" s="191" t="s">
        <v>191</v>
      </c>
      <c r="G82" s="28" t="s">
        <v>283</v>
      </c>
      <c r="J82" s="194">
        <f>'Pseudo-load coefficients'!J272</f>
        <v>16.002818503405528</v>
      </c>
      <c r="K82" s="194">
        <f>'Pseudo-load coefficients'!K272</f>
        <v>16.002818503405528</v>
      </c>
      <c r="L82" s="194">
        <f>'Pseudo-load coefficients'!L272</f>
        <v>13.862179208737285</v>
      </c>
      <c r="M82" s="194">
        <f>'Pseudo-load coefficients'!M272</f>
        <v>13.862179208737285</v>
      </c>
      <c r="N82" s="194">
        <f>'Pseudo-load coefficients'!N272</f>
        <v>11.784149480233719</v>
      </c>
      <c r="O82" s="194">
        <f>'Pseudo-load coefficients'!O272</f>
        <v>10.841386472217369</v>
      </c>
      <c r="P82" s="194">
        <f>'Pseudo-load coefficients'!P272</f>
        <v>9.875970399429038</v>
      </c>
      <c r="Q82" s="194">
        <f>'Pseudo-load coefficients'!Q272</f>
        <v>31.50593585154451</v>
      </c>
      <c r="R82" s="194">
        <f>'Pseudo-load coefficients'!R272</f>
        <v>9.66398982153828</v>
      </c>
      <c r="S82" s="194">
        <f>'Pseudo-load coefficients'!S272</f>
        <v>9.66398982153828</v>
      </c>
      <c r="T82" s="194">
        <f>'Pseudo-load coefficients'!T272</f>
        <v>9.66398982153828</v>
      </c>
      <c r="U82" s="194">
        <f>'Pseudo-load coefficients'!U272</f>
        <v>9.66398982153828</v>
      </c>
      <c r="V82" s="194">
        <f>'Pseudo-load coefficients'!V272</f>
        <v>9.66398982153828</v>
      </c>
      <c r="W82" s="194">
        <f>'Pseudo-load coefficients'!W272</f>
        <v>9.66398982153828</v>
      </c>
      <c r="X82" s="194">
        <f>'Pseudo-load coefficients'!X272</f>
        <v>9.66398982153828</v>
      </c>
      <c r="Y82" s="194">
        <f>'Pseudo-load coefficients'!Y272</f>
        <v>9.66398982153828</v>
      </c>
    </row>
    <row r="83" spans="5:25" x14ac:dyDescent="0.25">
      <c r="E83" s="32"/>
      <c r="F83" s="191" t="s">
        <v>192</v>
      </c>
      <c r="G83" s="28" t="s">
        <v>283</v>
      </c>
      <c r="J83" s="194">
        <f>'Pseudo-load coefficients'!J273</f>
        <v>13.729062034241984</v>
      </c>
      <c r="K83" s="194">
        <f>'Pseudo-load coefficients'!K273</f>
        <v>13.729062034241984</v>
      </c>
      <c r="L83" s="194">
        <f>'Pseudo-load coefficients'!L273</f>
        <v>11.892574938972977</v>
      </c>
      <c r="M83" s="194">
        <f>'Pseudo-load coefficients'!M273</f>
        <v>11.892574938972977</v>
      </c>
      <c r="N83" s="194">
        <f>'Pseudo-load coefficients'!N273</f>
        <v>10.109801545301531</v>
      </c>
      <c r="O83" s="194">
        <f>'Pseudo-load coefficients'!O273</f>
        <v>9.3009907837540826</v>
      </c>
      <c r="P83" s="194">
        <f>'Pseudo-load coefficients'!P273</f>
        <v>8.472745612483493</v>
      </c>
      <c r="Q83" s="194">
        <f>'Pseudo-load coefficients'!Q273</f>
        <v>30.711180304554297</v>
      </c>
      <c r="R83" s="194">
        <f>'Pseudo-load coefficients'!R273</f>
        <v>8.2908842420444451</v>
      </c>
      <c r="S83" s="194">
        <f>'Pseudo-load coefficients'!S273</f>
        <v>8.2908842420444451</v>
      </c>
      <c r="T83" s="194">
        <f>'Pseudo-load coefficients'!T273</f>
        <v>8.2908842420444451</v>
      </c>
      <c r="U83" s="194">
        <f>'Pseudo-load coefficients'!U273</f>
        <v>8.2908842420444451</v>
      </c>
      <c r="V83" s="194">
        <f>'Pseudo-load coefficients'!V273</f>
        <v>8.2908842420444451</v>
      </c>
      <c r="W83" s="194">
        <f>'Pseudo-load coefficients'!W273</f>
        <v>8.2908842420444451</v>
      </c>
      <c r="X83" s="194">
        <f>'Pseudo-load coefficients'!X273</f>
        <v>8.2908842420444451</v>
      </c>
      <c r="Y83" s="194">
        <f>'Pseudo-load coefficients'!Y273</f>
        <v>8.2908842420444451</v>
      </c>
    </row>
    <row r="84" spans="5:25" x14ac:dyDescent="0.25">
      <c r="E84" s="32"/>
      <c r="F84" s="191" t="s">
        <v>193</v>
      </c>
      <c r="G84" s="28" t="s">
        <v>283</v>
      </c>
      <c r="J84" s="194">
        <f>'Pseudo-load coefficients'!J274</f>
        <v>13.729062034241984</v>
      </c>
      <c r="K84" s="194">
        <f>'Pseudo-load coefficients'!K274</f>
        <v>13.729062034241984</v>
      </c>
      <c r="L84" s="194">
        <f>'Pseudo-load coefficients'!L274</f>
        <v>11.892574938972977</v>
      </c>
      <c r="M84" s="194">
        <f>'Pseudo-load coefficients'!M274</f>
        <v>11.892574938972977</v>
      </c>
      <c r="N84" s="194">
        <f>'Pseudo-load coefficients'!N274</f>
        <v>10.109801545301531</v>
      </c>
      <c r="O84" s="194">
        <f>'Pseudo-load coefficients'!O274</f>
        <v>9.3009907837540826</v>
      </c>
      <c r="P84" s="194">
        <f>'Pseudo-load coefficients'!P274</f>
        <v>8.472745612483493</v>
      </c>
      <c r="Q84" s="194">
        <f>'Pseudo-load coefficients'!Q274</f>
        <v>30.711180304554297</v>
      </c>
      <c r="R84" s="194">
        <f>'Pseudo-load coefficients'!R274</f>
        <v>8.2908842420444451</v>
      </c>
      <c r="S84" s="194">
        <f>'Pseudo-load coefficients'!S274</f>
        <v>8.2908842420444451</v>
      </c>
      <c r="T84" s="194">
        <f>'Pseudo-load coefficients'!T274</f>
        <v>8.2908842420444451</v>
      </c>
      <c r="U84" s="194">
        <f>'Pseudo-load coefficients'!U274</f>
        <v>8.2908842420444451</v>
      </c>
      <c r="V84" s="194">
        <f>'Pseudo-load coefficients'!V274</f>
        <v>8.2908842420444451</v>
      </c>
      <c r="W84" s="194">
        <f>'Pseudo-load coefficients'!W274</f>
        <v>8.2908842420444451</v>
      </c>
      <c r="X84" s="194">
        <f>'Pseudo-load coefficients'!X274</f>
        <v>8.2908842420444451</v>
      </c>
      <c r="Y84" s="194">
        <f>'Pseudo-load coefficients'!Y274</f>
        <v>8.2908842420444451</v>
      </c>
    </row>
    <row r="85" spans="5:25" x14ac:dyDescent="0.25">
      <c r="E85" s="32"/>
      <c r="F85" s="191" t="s">
        <v>194</v>
      </c>
      <c r="G85" s="28" t="s">
        <v>283</v>
      </c>
      <c r="J85" s="194">
        <f>'Pseudo-load coefficients'!J275</f>
        <v>11.535806792422333</v>
      </c>
      <c r="K85" s="194">
        <f>'Pseudo-load coefficients'!K275</f>
        <v>11.535806792422333</v>
      </c>
      <c r="L85" s="194">
        <f>'Pseudo-load coefficients'!L275</f>
        <v>9.9927035378109643</v>
      </c>
      <c r="M85" s="194">
        <f>'Pseudo-load coefficients'!M275</f>
        <v>9.9927035378109643</v>
      </c>
      <c r="N85" s="194">
        <f>'Pseudo-load coefficients'!N275</f>
        <v>8.4947330739313927</v>
      </c>
      <c r="O85" s="194">
        <f>'Pseudo-load coefficients'!O275</f>
        <v>7.8151320455747255</v>
      </c>
      <c r="P85" s="194">
        <f>'Pseudo-load coefficients'!P275</f>
        <v>7.1192013076478204</v>
      </c>
      <c r="Q85" s="194">
        <f>'Pseudo-load coefficients'!Q275</f>
        <v>26.00604646517473</v>
      </c>
      <c r="R85" s="194">
        <f>'Pseudo-load coefficients'!R275</f>
        <v>6.9663927889626018</v>
      </c>
      <c r="S85" s="194">
        <f>'Pseudo-load coefficients'!S275</f>
        <v>6.9663927889626018</v>
      </c>
      <c r="T85" s="194">
        <f>'Pseudo-load coefficients'!T275</f>
        <v>6.9663927889626018</v>
      </c>
      <c r="U85" s="194">
        <f>'Pseudo-load coefficients'!U275</f>
        <v>6.9663927889626018</v>
      </c>
      <c r="V85" s="194">
        <f>'Pseudo-load coefficients'!V275</f>
        <v>6.9663927889626018</v>
      </c>
      <c r="W85" s="194">
        <f>'Pseudo-load coefficients'!W275</f>
        <v>6.9663927889626018</v>
      </c>
      <c r="X85" s="194">
        <f>'Pseudo-load coefficients'!X275</f>
        <v>6.9663927889626018</v>
      </c>
      <c r="Y85" s="194">
        <f>'Pseudo-load coefficients'!Y275</f>
        <v>6.9663927889626018</v>
      </c>
    </row>
    <row r="86" spans="5:25" x14ac:dyDescent="0.25">
      <c r="E86" s="32"/>
      <c r="F86" s="191" t="s">
        <v>195</v>
      </c>
      <c r="G86" s="28" t="s">
        <v>283</v>
      </c>
      <c r="J86" s="194">
        <f>'Pseudo-load coefficients'!J276</f>
        <v>11.535806792422333</v>
      </c>
      <c r="K86" s="194">
        <f>'Pseudo-load coefficients'!K276</f>
        <v>11.535806792422333</v>
      </c>
      <c r="L86" s="194">
        <f>'Pseudo-load coefficients'!L276</f>
        <v>9.9927035378109643</v>
      </c>
      <c r="M86" s="194">
        <f>'Pseudo-load coefficients'!M276</f>
        <v>9.9927035378109643</v>
      </c>
      <c r="N86" s="194">
        <f>'Pseudo-load coefficients'!N276</f>
        <v>8.4947330739313927</v>
      </c>
      <c r="O86" s="194">
        <f>'Pseudo-load coefficients'!O276</f>
        <v>7.8151320455747255</v>
      </c>
      <c r="P86" s="194">
        <f>'Pseudo-load coefficients'!P276</f>
        <v>7.1192013076478204</v>
      </c>
      <c r="Q86" s="194">
        <f>'Pseudo-load coefficients'!Q276</f>
        <v>26.00604646517473</v>
      </c>
      <c r="R86" s="194">
        <f>'Pseudo-load coefficients'!R276</f>
        <v>6.9663927889626018</v>
      </c>
      <c r="S86" s="194">
        <f>'Pseudo-load coefficients'!S276</f>
        <v>6.9663927889626018</v>
      </c>
      <c r="T86" s="194">
        <f>'Pseudo-load coefficients'!T276</f>
        <v>6.9663927889626018</v>
      </c>
      <c r="U86" s="194">
        <f>'Pseudo-load coefficients'!U276</f>
        <v>6.9663927889626018</v>
      </c>
      <c r="V86" s="194">
        <f>'Pseudo-load coefficients'!V276</f>
        <v>6.9663927889626018</v>
      </c>
      <c r="W86" s="194">
        <f>'Pseudo-load coefficients'!W276</f>
        <v>6.9663927889626018</v>
      </c>
      <c r="X86" s="194">
        <f>'Pseudo-load coefficients'!X276</f>
        <v>6.9663927889626018</v>
      </c>
      <c r="Y86" s="194">
        <f>'Pseudo-load coefficients'!Y276</f>
        <v>6.9663927889626018</v>
      </c>
    </row>
    <row r="87" spans="5:25" x14ac:dyDescent="0.25">
      <c r="E87" s="32"/>
      <c r="F87" s="191" t="s">
        <v>196</v>
      </c>
      <c r="G87" s="28" t="s">
        <v>283</v>
      </c>
      <c r="J87" s="194">
        <f>'Pseudo-load coefficients'!J277</f>
        <v>13.729062034241984</v>
      </c>
      <c r="K87" s="194">
        <f>'Pseudo-load coefficients'!K277</f>
        <v>13.729062034241984</v>
      </c>
      <c r="L87" s="194">
        <f>'Pseudo-load coefficients'!L277</f>
        <v>11.892574938972977</v>
      </c>
      <c r="M87" s="194">
        <f>'Pseudo-load coefficients'!M277</f>
        <v>11.892574938972977</v>
      </c>
      <c r="N87" s="194">
        <f>'Pseudo-load coefficients'!N277</f>
        <v>10.109801545301531</v>
      </c>
      <c r="O87" s="194">
        <f>'Pseudo-load coefficients'!O277</f>
        <v>9.3009907837540826</v>
      </c>
      <c r="P87" s="194">
        <f>'Pseudo-load coefficients'!P277</f>
        <v>8.472745612483493</v>
      </c>
      <c r="Q87" s="194">
        <f>'Pseudo-load coefficients'!Q277</f>
        <v>30.711180304554297</v>
      </c>
      <c r="R87" s="194">
        <f>'Pseudo-load coefficients'!R277</f>
        <v>8.2908842420444451</v>
      </c>
      <c r="S87" s="194">
        <f>'Pseudo-load coefficients'!S277</f>
        <v>8.2908842420444451</v>
      </c>
      <c r="T87" s="194">
        <f>'Pseudo-load coefficients'!T277</f>
        <v>8.2908842420444451</v>
      </c>
      <c r="U87" s="194">
        <f>'Pseudo-load coefficients'!U277</f>
        <v>8.2908842420444451</v>
      </c>
      <c r="V87" s="194">
        <f>'Pseudo-load coefficients'!V277</f>
        <v>8.2908842420444451</v>
      </c>
      <c r="W87" s="194">
        <f>'Pseudo-load coefficients'!W277</f>
        <v>8.2908842420444451</v>
      </c>
      <c r="X87" s="194">
        <f>'Pseudo-load coefficients'!X277</f>
        <v>8.2908842420444451</v>
      </c>
      <c r="Y87" s="194">
        <f>'Pseudo-load coefficients'!Y277</f>
        <v>8.2908842420444451</v>
      </c>
    </row>
    <row r="88" spans="5:25" x14ac:dyDescent="0.25">
      <c r="E88" s="32"/>
      <c r="F88" s="191" t="s">
        <v>197</v>
      </c>
      <c r="G88" s="28" t="s">
        <v>283</v>
      </c>
      <c r="J88" s="194">
        <f>'Pseudo-load coefficients'!J278</f>
        <v>11.535806792422333</v>
      </c>
      <c r="K88" s="194">
        <f>'Pseudo-load coefficients'!K278</f>
        <v>11.535806792422333</v>
      </c>
      <c r="L88" s="194">
        <f>'Pseudo-load coefficients'!L278</f>
        <v>9.9927035378109643</v>
      </c>
      <c r="M88" s="194">
        <f>'Pseudo-load coefficients'!M278</f>
        <v>9.9927035378109643</v>
      </c>
      <c r="N88" s="194">
        <f>'Pseudo-load coefficients'!N278</f>
        <v>8.4947330739313927</v>
      </c>
      <c r="O88" s="194">
        <f>'Pseudo-load coefficients'!O278</f>
        <v>7.8151320455747255</v>
      </c>
      <c r="P88" s="194">
        <f>'Pseudo-load coefficients'!P278</f>
        <v>7.1192013076478204</v>
      </c>
      <c r="Q88" s="194">
        <f>'Pseudo-load coefficients'!Q278</f>
        <v>26.00604646517473</v>
      </c>
      <c r="R88" s="194">
        <f>'Pseudo-load coefficients'!R278</f>
        <v>6.9663927889626018</v>
      </c>
      <c r="S88" s="194">
        <f>'Pseudo-load coefficients'!S278</f>
        <v>6.9663927889626018</v>
      </c>
      <c r="T88" s="194">
        <f>'Pseudo-load coefficients'!T278</f>
        <v>6.9663927889626018</v>
      </c>
      <c r="U88" s="194">
        <f>'Pseudo-load coefficients'!U278</f>
        <v>6.9663927889626018</v>
      </c>
      <c r="V88" s="194">
        <f>'Pseudo-load coefficients'!V278</f>
        <v>6.9663927889626018</v>
      </c>
      <c r="W88" s="194">
        <f>'Pseudo-load coefficients'!W278</f>
        <v>6.9663927889626018</v>
      </c>
      <c r="X88" s="194">
        <f>'Pseudo-load coefficients'!X278</f>
        <v>6.9663927889626018</v>
      </c>
      <c r="Y88" s="194">
        <f>'Pseudo-load coefficients'!Y278</f>
        <v>6.9663927889626018</v>
      </c>
    </row>
    <row r="89" spans="5:25" x14ac:dyDescent="0.25">
      <c r="E89" s="32"/>
      <c r="F89" s="191" t="s">
        <v>198</v>
      </c>
      <c r="G89" s="28" t="s">
        <v>283</v>
      </c>
      <c r="J89" s="194">
        <f>'Pseudo-load coefficients'!J279</f>
        <v>11.535806792422333</v>
      </c>
      <c r="K89" s="194">
        <f>'Pseudo-load coefficients'!K279</f>
        <v>11.535806792422333</v>
      </c>
      <c r="L89" s="194">
        <f>'Pseudo-load coefficients'!L279</f>
        <v>9.9927035378109643</v>
      </c>
      <c r="M89" s="194">
        <f>'Pseudo-load coefficients'!M279</f>
        <v>9.9927035378109643</v>
      </c>
      <c r="N89" s="194">
        <f>'Pseudo-load coefficients'!N279</f>
        <v>8.4947330739313927</v>
      </c>
      <c r="O89" s="194">
        <f>'Pseudo-load coefficients'!O279</f>
        <v>7.8151320455747255</v>
      </c>
      <c r="P89" s="194">
        <f>'Pseudo-load coefficients'!P279</f>
        <v>7.1192013076478204</v>
      </c>
      <c r="Q89" s="194">
        <f>'Pseudo-load coefficients'!Q279</f>
        <v>26.00604646517473</v>
      </c>
      <c r="R89" s="194">
        <f>'Pseudo-load coefficients'!R279</f>
        <v>6.9663927889626018</v>
      </c>
      <c r="S89" s="194">
        <f>'Pseudo-load coefficients'!S279</f>
        <v>6.9663927889626018</v>
      </c>
      <c r="T89" s="194">
        <f>'Pseudo-load coefficients'!T279</f>
        <v>6.9663927889626018</v>
      </c>
      <c r="U89" s="194">
        <f>'Pseudo-load coefficients'!U279</f>
        <v>6.9663927889626018</v>
      </c>
      <c r="V89" s="194">
        <f>'Pseudo-load coefficients'!V279</f>
        <v>6.9663927889626018</v>
      </c>
      <c r="W89" s="194">
        <f>'Pseudo-load coefficients'!W279</f>
        <v>6.9663927889626018</v>
      </c>
      <c r="X89" s="194">
        <f>'Pseudo-load coefficients'!X279</f>
        <v>6.9663927889626018</v>
      </c>
      <c r="Y89" s="194">
        <f>'Pseudo-load coefficients'!Y279</f>
        <v>6.9663927889626018</v>
      </c>
    </row>
    <row r="90" spans="5:25" x14ac:dyDescent="0.25">
      <c r="E90" s="32"/>
      <c r="F90" s="192" t="s">
        <v>199</v>
      </c>
      <c r="G90" s="67" t="s">
        <v>283</v>
      </c>
      <c r="H90" s="37"/>
      <c r="I90" s="37"/>
      <c r="J90" s="195">
        <f>'Pseudo-load coefficients'!J280</f>
        <v>11.535806792422333</v>
      </c>
      <c r="K90" s="195">
        <f>'Pseudo-load coefficients'!K280</f>
        <v>11.535806792422333</v>
      </c>
      <c r="L90" s="195">
        <f>'Pseudo-load coefficients'!L280</f>
        <v>9.9927035378109643</v>
      </c>
      <c r="M90" s="195">
        <f>'Pseudo-load coefficients'!M280</f>
        <v>9.9927035378109643</v>
      </c>
      <c r="N90" s="195">
        <f>'Pseudo-load coefficients'!N280</f>
        <v>8.4947330739313927</v>
      </c>
      <c r="O90" s="195">
        <f>'Pseudo-load coefficients'!O280</f>
        <v>7.8151320455747255</v>
      </c>
      <c r="P90" s="195">
        <f>'Pseudo-load coefficients'!P280</f>
        <v>7.1192013076478204</v>
      </c>
      <c r="Q90" s="195">
        <f>'Pseudo-load coefficients'!Q280</f>
        <v>26.00604646517473</v>
      </c>
      <c r="R90" s="195">
        <f>'Pseudo-load coefficients'!R280</f>
        <v>6.9663927889626018</v>
      </c>
      <c r="S90" s="195">
        <f>'Pseudo-load coefficients'!S280</f>
        <v>6.9663927889626018</v>
      </c>
      <c r="T90" s="195">
        <f>'Pseudo-load coefficients'!T280</f>
        <v>6.9663927889626018</v>
      </c>
      <c r="U90" s="195">
        <f>'Pseudo-load coefficients'!U280</f>
        <v>6.9663927889626018</v>
      </c>
      <c r="V90" s="195">
        <f>'Pseudo-load coefficients'!V280</f>
        <v>6.9663927889626018</v>
      </c>
      <c r="W90" s="195">
        <f>'Pseudo-load coefficients'!W280</f>
        <v>6.9663927889626018</v>
      </c>
      <c r="X90" s="195">
        <f>'Pseudo-load coefficients'!X280</f>
        <v>6.9663927889626018</v>
      </c>
      <c r="Y90" s="195">
        <f>'Pseudo-load coefficients'!Y280</f>
        <v>6.9663927889626018</v>
      </c>
    </row>
    <row r="91" spans="5:25" x14ac:dyDescent="0.25">
      <c r="E91" s="32"/>
      <c r="J91" s="163"/>
      <c r="K91" s="163"/>
      <c r="L91" s="163"/>
      <c r="M91" s="163"/>
      <c r="N91" s="163"/>
      <c r="O91" s="163"/>
      <c r="P91" s="163"/>
      <c r="Q91" s="163"/>
      <c r="R91" s="163"/>
      <c r="S91" s="163"/>
      <c r="T91" s="163"/>
      <c r="U91" s="163"/>
      <c r="V91" s="163"/>
      <c r="W91" s="163"/>
      <c r="X91" s="163"/>
      <c r="Y91" s="163"/>
    </row>
    <row r="92" spans="5:25" x14ac:dyDescent="0.25">
      <c r="E92" s="32" t="s">
        <v>510</v>
      </c>
      <c r="J92" s="163"/>
      <c r="K92" s="163"/>
      <c r="L92" s="163"/>
      <c r="M92" s="163"/>
      <c r="N92" s="163"/>
      <c r="O92" s="163"/>
      <c r="P92" s="163"/>
      <c r="Q92" s="163"/>
      <c r="R92" s="163"/>
      <c r="S92" s="163"/>
      <c r="T92" s="163"/>
      <c r="U92" s="163"/>
      <c r="V92" s="163"/>
      <c r="W92" s="163"/>
      <c r="X92" s="163"/>
      <c r="Y92" s="163"/>
    </row>
    <row r="93" spans="5:25" x14ac:dyDescent="0.25">
      <c r="E93" s="32"/>
      <c r="F93" s="190" t="s">
        <v>189</v>
      </c>
      <c r="G93" s="64" t="s">
        <v>283</v>
      </c>
      <c r="H93" s="23"/>
      <c r="I93" s="23"/>
      <c r="J93" s="193">
        <f>'Pseudo-load coefficients'!J283</f>
        <v>0.7209175333780069</v>
      </c>
      <c r="K93" s="193">
        <f>'Pseudo-load coefficients'!K283</f>
        <v>0.7209175333780069</v>
      </c>
      <c r="L93" s="193">
        <f>'Pseudo-load coefficients'!L283</f>
        <v>0.62448299593475232</v>
      </c>
      <c r="M93" s="193">
        <f>'Pseudo-load coefficients'!M283</f>
        <v>0.62448299593475232</v>
      </c>
      <c r="N93" s="193">
        <f>'Pseudo-load coefficients'!N283</f>
        <v>0.5308689825132944</v>
      </c>
      <c r="O93" s="193">
        <f>'Pseudo-load coefficients'!O283</f>
        <v>0.48839806514617307</v>
      </c>
      <c r="P93" s="193">
        <f>'Pseudo-load coefficients'!P283</f>
        <v>0.4449066405743119</v>
      </c>
      <c r="Q93" s="193">
        <f>'Pseudo-load coefficients'!Q283</f>
        <v>0.91983030727230297</v>
      </c>
      <c r="R93" s="193">
        <f>'Pseudo-load coefficients'!R283</f>
        <v>0.4353570405895012</v>
      </c>
      <c r="S93" s="193">
        <f>'Pseudo-load coefficients'!S283</f>
        <v>0.4353570405895012</v>
      </c>
      <c r="T93" s="193">
        <f>'Pseudo-load coefficients'!T283</f>
        <v>0.4353570405895012</v>
      </c>
      <c r="U93" s="193">
        <f>'Pseudo-load coefficients'!U283</f>
        <v>0.4353570405895012</v>
      </c>
      <c r="V93" s="193">
        <f>'Pseudo-load coefficients'!V283</f>
        <v>0.4353570405895012</v>
      </c>
      <c r="W93" s="193">
        <f>'Pseudo-load coefficients'!W283</f>
        <v>0.4353570405895012</v>
      </c>
      <c r="X93" s="193">
        <f>'Pseudo-load coefficients'!X283</f>
        <v>0.4353570405895012</v>
      </c>
      <c r="Y93" s="193">
        <f>'Pseudo-load coefficients'!Y283</f>
        <v>0.4353570405895012</v>
      </c>
    </row>
    <row r="94" spans="5:25" x14ac:dyDescent="0.25">
      <c r="E94" s="32"/>
      <c r="F94" s="191" t="s">
        <v>191</v>
      </c>
      <c r="G94" s="28" t="s">
        <v>283</v>
      </c>
      <c r="J94" s="194">
        <f>'Pseudo-load coefficients'!J283</f>
        <v>0.7209175333780069</v>
      </c>
      <c r="K94" s="194">
        <f>'Pseudo-load coefficients'!K283</f>
        <v>0.7209175333780069</v>
      </c>
      <c r="L94" s="194">
        <f>'Pseudo-load coefficients'!L283</f>
        <v>0.62448299593475232</v>
      </c>
      <c r="M94" s="194">
        <f>'Pseudo-load coefficients'!M283</f>
        <v>0.62448299593475232</v>
      </c>
      <c r="N94" s="194">
        <f>'Pseudo-load coefficients'!N283</f>
        <v>0.5308689825132944</v>
      </c>
      <c r="O94" s="194">
        <f>'Pseudo-load coefficients'!O283</f>
        <v>0.48839806514617307</v>
      </c>
      <c r="P94" s="194">
        <f>'Pseudo-load coefficients'!P283</f>
        <v>0.4449066405743119</v>
      </c>
      <c r="Q94" s="194">
        <f>'Pseudo-load coefficients'!Q283</f>
        <v>0.91983030727230297</v>
      </c>
      <c r="R94" s="194">
        <f>'Pseudo-load coefficients'!R283</f>
        <v>0.4353570405895012</v>
      </c>
      <c r="S94" s="194">
        <f>'Pseudo-load coefficients'!S283</f>
        <v>0.4353570405895012</v>
      </c>
      <c r="T94" s="194">
        <f>'Pseudo-load coefficients'!T283</f>
        <v>0.4353570405895012</v>
      </c>
      <c r="U94" s="194">
        <f>'Pseudo-load coefficients'!U283</f>
        <v>0.4353570405895012</v>
      </c>
      <c r="V94" s="194">
        <f>'Pseudo-load coefficients'!V283</f>
        <v>0.4353570405895012</v>
      </c>
      <c r="W94" s="194">
        <f>'Pseudo-load coefficients'!W283</f>
        <v>0.4353570405895012</v>
      </c>
      <c r="X94" s="194">
        <f>'Pseudo-load coefficients'!X283</f>
        <v>0.4353570405895012</v>
      </c>
      <c r="Y94" s="194">
        <f>'Pseudo-load coefficients'!Y283</f>
        <v>0.4353570405895012</v>
      </c>
    </row>
    <row r="95" spans="5:25" x14ac:dyDescent="0.25">
      <c r="E95" s="32"/>
      <c r="F95" s="191" t="s">
        <v>192</v>
      </c>
      <c r="G95" s="28" t="s">
        <v>283</v>
      </c>
      <c r="J95" s="194">
        <f>'Pseudo-load coefficients'!J284</f>
        <v>1.2605707266687587</v>
      </c>
      <c r="K95" s="194">
        <f>'Pseudo-load coefficients'!K284</f>
        <v>1.2605707266687587</v>
      </c>
      <c r="L95" s="194">
        <f>'Pseudo-load coefficients'!L284</f>
        <v>1.0919487285725233</v>
      </c>
      <c r="M95" s="194">
        <f>'Pseudo-load coefficients'!M284</f>
        <v>1.0919487285725233</v>
      </c>
      <c r="N95" s="194">
        <f>'Pseudo-load coefficients'!N284</f>
        <v>0.9282585983406787</v>
      </c>
      <c r="O95" s="194">
        <f>'Pseudo-load coefficients'!O284</f>
        <v>0.85399546464090648</v>
      </c>
      <c r="P95" s="194">
        <f>'Pseudo-load coefficients'!P284</f>
        <v>0.77794790838364436</v>
      </c>
      <c r="Q95" s="194">
        <f>'Pseudo-load coefficients'!Q284</f>
        <v>0.91178235291106546</v>
      </c>
      <c r="R95" s="194">
        <f>'Pseudo-load coefficients'!R284</f>
        <v>0.76124981791573398</v>
      </c>
      <c r="S95" s="194">
        <f>'Pseudo-load coefficients'!S284</f>
        <v>0.76124981791573398</v>
      </c>
      <c r="T95" s="194">
        <f>'Pseudo-load coefficients'!T284</f>
        <v>0.76124981791573398</v>
      </c>
      <c r="U95" s="194">
        <f>'Pseudo-load coefficients'!U284</f>
        <v>0.76124981791573398</v>
      </c>
      <c r="V95" s="194">
        <f>'Pseudo-load coefficients'!V284</f>
        <v>0.76124981791573398</v>
      </c>
      <c r="W95" s="194">
        <f>'Pseudo-load coefficients'!W284</f>
        <v>0.76124981791573398</v>
      </c>
      <c r="X95" s="194">
        <f>'Pseudo-load coefficients'!X284</f>
        <v>0.76124981791573398</v>
      </c>
      <c r="Y95" s="194">
        <f>'Pseudo-load coefficients'!Y284</f>
        <v>0.76124981791573398</v>
      </c>
    </row>
    <row r="96" spans="5:25" x14ac:dyDescent="0.25">
      <c r="E96" s="32"/>
      <c r="F96" s="191" t="s">
        <v>193</v>
      </c>
      <c r="G96" s="28" t="s">
        <v>283</v>
      </c>
      <c r="J96" s="194">
        <f>'Pseudo-load coefficients'!J285</f>
        <v>1.2605707266687587</v>
      </c>
      <c r="K96" s="194">
        <f>'Pseudo-load coefficients'!K285</f>
        <v>1.2605707266687587</v>
      </c>
      <c r="L96" s="194">
        <f>'Pseudo-load coefficients'!L285</f>
        <v>1.0919487285725233</v>
      </c>
      <c r="M96" s="194">
        <f>'Pseudo-load coefficients'!M285</f>
        <v>1.0919487285725233</v>
      </c>
      <c r="N96" s="194">
        <f>'Pseudo-load coefficients'!N285</f>
        <v>0.9282585983406787</v>
      </c>
      <c r="O96" s="194">
        <f>'Pseudo-load coefficients'!O285</f>
        <v>0.85399546464090648</v>
      </c>
      <c r="P96" s="194">
        <f>'Pseudo-load coefficients'!P285</f>
        <v>0.77794790838364436</v>
      </c>
      <c r="Q96" s="194">
        <f>'Pseudo-load coefficients'!Q285</f>
        <v>0.91178235291106546</v>
      </c>
      <c r="R96" s="194">
        <f>'Pseudo-load coefficients'!R285</f>
        <v>0.76124981791573398</v>
      </c>
      <c r="S96" s="194">
        <f>'Pseudo-load coefficients'!S285</f>
        <v>0.76124981791573398</v>
      </c>
      <c r="T96" s="194">
        <f>'Pseudo-load coefficients'!T285</f>
        <v>0.76124981791573398</v>
      </c>
      <c r="U96" s="194">
        <f>'Pseudo-load coefficients'!U285</f>
        <v>0.76124981791573398</v>
      </c>
      <c r="V96" s="194">
        <f>'Pseudo-load coefficients'!V285</f>
        <v>0.76124981791573398</v>
      </c>
      <c r="W96" s="194">
        <f>'Pseudo-load coefficients'!W285</f>
        <v>0.76124981791573398</v>
      </c>
      <c r="X96" s="194">
        <f>'Pseudo-load coefficients'!X285</f>
        <v>0.76124981791573398</v>
      </c>
      <c r="Y96" s="194">
        <f>'Pseudo-load coefficients'!Y285</f>
        <v>0.76124981791573398</v>
      </c>
    </row>
    <row r="97" spans="3:25" x14ac:dyDescent="0.25">
      <c r="E97" s="32"/>
      <c r="F97" s="191" t="s">
        <v>194</v>
      </c>
      <c r="G97" s="28" t="s">
        <v>283</v>
      </c>
      <c r="J97" s="194">
        <f>'Pseudo-load coefficients'!J286</f>
        <v>1.7658339101040399</v>
      </c>
      <c r="K97" s="194">
        <f>'Pseudo-load coefficients'!K286</f>
        <v>1.7658339101040399</v>
      </c>
      <c r="L97" s="194">
        <f>'Pseudo-load coefficients'!L286</f>
        <v>1.529624678897552</v>
      </c>
      <c r="M97" s="194">
        <f>'Pseudo-load coefficients'!M286</f>
        <v>1.529624678897552</v>
      </c>
      <c r="N97" s="194">
        <f>'Pseudo-load coefficients'!N286</f>
        <v>1.3003241116246682</v>
      </c>
      <c r="O97" s="194">
        <f>'Pseudo-load coefficients'!O286</f>
        <v>1.1962947565212105</v>
      </c>
      <c r="P97" s="194">
        <f>'Pseudo-load coefficients'!P286</f>
        <v>1.089765744877023</v>
      </c>
      <c r="Q97" s="194">
        <f>'Pseudo-load coefficients'!Q286</f>
        <v>1.2053493285703876</v>
      </c>
      <c r="R97" s="194">
        <f>'Pseudo-load coefficients'!R286</f>
        <v>1.0663747095638818</v>
      </c>
      <c r="S97" s="194">
        <f>'Pseudo-load coefficients'!S286</f>
        <v>1.0663747095638818</v>
      </c>
      <c r="T97" s="194">
        <f>'Pseudo-load coefficients'!T286</f>
        <v>1.0663747095638818</v>
      </c>
      <c r="U97" s="194">
        <f>'Pseudo-load coefficients'!U286</f>
        <v>1.0663747095638818</v>
      </c>
      <c r="V97" s="194">
        <f>'Pseudo-load coefficients'!V286</f>
        <v>1.0663747095638818</v>
      </c>
      <c r="W97" s="194">
        <f>'Pseudo-load coefficients'!W286</f>
        <v>1.0663747095638818</v>
      </c>
      <c r="X97" s="194">
        <f>'Pseudo-load coefficients'!X286</f>
        <v>1.0663747095638818</v>
      </c>
      <c r="Y97" s="194">
        <f>'Pseudo-load coefficients'!Y286</f>
        <v>1.0663747095638818</v>
      </c>
    </row>
    <row r="98" spans="3:25" x14ac:dyDescent="0.25">
      <c r="E98" s="32"/>
      <c r="F98" s="191" t="s">
        <v>195</v>
      </c>
      <c r="G98" s="28" t="s">
        <v>283</v>
      </c>
      <c r="J98" s="194">
        <f>'Pseudo-load coefficients'!J287</f>
        <v>1.7658339101040399</v>
      </c>
      <c r="K98" s="194">
        <f>'Pseudo-load coefficients'!K287</f>
        <v>1.7658339101040399</v>
      </c>
      <c r="L98" s="194">
        <f>'Pseudo-load coefficients'!L287</f>
        <v>1.529624678897552</v>
      </c>
      <c r="M98" s="194">
        <f>'Pseudo-load coefficients'!M287</f>
        <v>1.529624678897552</v>
      </c>
      <c r="N98" s="194">
        <f>'Pseudo-load coefficients'!N287</f>
        <v>1.3003241116246682</v>
      </c>
      <c r="O98" s="194">
        <f>'Pseudo-load coefficients'!O287</f>
        <v>1.1962947565212105</v>
      </c>
      <c r="P98" s="194">
        <f>'Pseudo-load coefficients'!P287</f>
        <v>1.089765744877023</v>
      </c>
      <c r="Q98" s="194">
        <f>'Pseudo-load coefficients'!Q287</f>
        <v>1.2053493285703876</v>
      </c>
      <c r="R98" s="194">
        <f>'Pseudo-load coefficients'!R287</f>
        <v>1.0663747095638818</v>
      </c>
      <c r="S98" s="194">
        <f>'Pseudo-load coefficients'!S287</f>
        <v>1.0663747095638818</v>
      </c>
      <c r="T98" s="194">
        <f>'Pseudo-load coefficients'!T287</f>
        <v>1.0663747095638818</v>
      </c>
      <c r="U98" s="194">
        <f>'Pseudo-load coefficients'!U287</f>
        <v>1.0663747095638818</v>
      </c>
      <c r="V98" s="194">
        <f>'Pseudo-load coefficients'!V287</f>
        <v>1.0663747095638818</v>
      </c>
      <c r="W98" s="194">
        <f>'Pseudo-load coefficients'!W287</f>
        <v>1.0663747095638818</v>
      </c>
      <c r="X98" s="194">
        <f>'Pseudo-load coefficients'!X287</f>
        <v>1.0663747095638818</v>
      </c>
      <c r="Y98" s="194">
        <f>'Pseudo-load coefficients'!Y287</f>
        <v>1.0663747095638818</v>
      </c>
    </row>
    <row r="99" spans="3:25" x14ac:dyDescent="0.25">
      <c r="E99" s="32"/>
      <c r="F99" s="191" t="s">
        <v>196</v>
      </c>
      <c r="G99" s="28" t="s">
        <v>283</v>
      </c>
      <c r="J99" s="194">
        <f>'Pseudo-load coefficients'!J288</f>
        <v>1.2605707266687587</v>
      </c>
      <c r="K99" s="194">
        <f>'Pseudo-load coefficients'!K288</f>
        <v>1.2605707266687587</v>
      </c>
      <c r="L99" s="194">
        <f>'Pseudo-load coefficients'!L288</f>
        <v>1.0919487285725233</v>
      </c>
      <c r="M99" s="194">
        <f>'Pseudo-load coefficients'!M288</f>
        <v>1.0919487285725233</v>
      </c>
      <c r="N99" s="194">
        <f>'Pseudo-load coefficients'!N288</f>
        <v>0.9282585983406787</v>
      </c>
      <c r="O99" s="194">
        <f>'Pseudo-load coefficients'!O288</f>
        <v>0.85399546464090648</v>
      </c>
      <c r="P99" s="194">
        <f>'Pseudo-load coefficients'!P288</f>
        <v>0.77794790838364436</v>
      </c>
      <c r="Q99" s="194">
        <f>'Pseudo-load coefficients'!Q288</f>
        <v>0.91178235291106546</v>
      </c>
      <c r="R99" s="194">
        <f>'Pseudo-load coefficients'!R288</f>
        <v>0.76124981791573398</v>
      </c>
      <c r="S99" s="194">
        <f>'Pseudo-load coefficients'!S288</f>
        <v>0.76124981791573398</v>
      </c>
      <c r="T99" s="194">
        <f>'Pseudo-load coefficients'!T288</f>
        <v>0.76124981791573398</v>
      </c>
      <c r="U99" s="194">
        <f>'Pseudo-load coefficients'!U288</f>
        <v>0.76124981791573398</v>
      </c>
      <c r="V99" s="194">
        <f>'Pseudo-load coefficients'!V288</f>
        <v>0.76124981791573398</v>
      </c>
      <c r="W99" s="194">
        <f>'Pseudo-load coefficients'!W288</f>
        <v>0.76124981791573398</v>
      </c>
      <c r="X99" s="194">
        <f>'Pseudo-load coefficients'!X288</f>
        <v>0.76124981791573398</v>
      </c>
      <c r="Y99" s="194">
        <f>'Pseudo-load coefficients'!Y288</f>
        <v>0.76124981791573398</v>
      </c>
    </row>
    <row r="100" spans="3:25" x14ac:dyDescent="0.25">
      <c r="E100" s="32"/>
      <c r="F100" s="191" t="s">
        <v>197</v>
      </c>
      <c r="G100" s="28" t="s">
        <v>283</v>
      </c>
      <c r="J100" s="194">
        <f>'Pseudo-load coefficients'!J289</f>
        <v>1.7658339101040399</v>
      </c>
      <c r="K100" s="194">
        <f>'Pseudo-load coefficients'!K289</f>
        <v>1.7658339101040399</v>
      </c>
      <c r="L100" s="194">
        <f>'Pseudo-load coefficients'!L289</f>
        <v>1.529624678897552</v>
      </c>
      <c r="M100" s="194">
        <f>'Pseudo-load coefficients'!M289</f>
        <v>1.529624678897552</v>
      </c>
      <c r="N100" s="194">
        <f>'Pseudo-load coefficients'!N289</f>
        <v>1.3003241116246682</v>
      </c>
      <c r="O100" s="194">
        <f>'Pseudo-load coefficients'!O289</f>
        <v>1.1962947565212105</v>
      </c>
      <c r="P100" s="194">
        <f>'Pseudo-load coefficients'!P289</f>
        <v>1.089765744877023</v>
      </c>
      <c r="Q100" s="194">
        <f>'Pseudo-load coefficients'!Q289</f>
        <v>1.2053493285703876</v>
      </c>
      <c r="R100" s="194">
        <f>'Pseudo-load coefficients'!R289</f>
        <v>1.0663747095638818</v>
      </c>
      <c r="S100" s="194">
        <f>'Pseudo-load coefficients'!S289</f>
        <v>1.0663747095638818</v>
      </c>
      <c r="T100" s="194">
        <f>'Pseudo-load coefficients'!T289</f>
        <v>1.0663747095638818</v>
      </c>
      <c r="U100" s="194">
        <f>'Pseudo-load coefficients'!U289</f>
        <v>1.0663747095638818</v>
      </c>
      <c r="V100" s="194">
        <f>'Pseudo-load coefficients'!V289</f>
        <v>1.0663747095638818</v>
      </c>
      <c r="W100" s="194">
        <f>'Pseudo-load coefficients'!W289</f>
        <v>1.0663747095638818</v>
      </c>
      <c r="X100" s="194">
        <f>'Pseudo-load coefficients'!X289</f>
        <v>1.0663747095638818</v>
      </c>
      <c r="Y100" s="194">
        <f>'Pseudo-load coefficients'!Y289</f>
        <v>1.0663747095638818</v>
      </c>
    </row>
    <row r="101" spans="3:25" x14ac:dyDescent="0.25">
      <c r="E101" s="32"/>
      <c r="F101" s="191" t="s">
        <v>198</v>
      </c>
      <c r="G101" s="28" t="s">
        <v>283</v>
      </c>
      <c r="J101" s="194">
        <f>'Pseudo-load coefficients'!J290</f>
        <v>1.7658339101040399</v>
      </c>
      <c r="K101" s="194">
        <f>'Pseudo-load coefficients'!K290</f>
        <v>1.7658339101040399</v>
      </c>
      <c r="L101" s="194">
        <f>'Pseudo-load coefficients'!L290</f>
        <v>1.529624678897552</v>
      </c>
      <c r="M101" s="194">
        <f>'Pseudo-load coefficients'!M290</f>
        <v>1.529624678897552</v>
      </c>
      <c r="N101" s="194">
        <f>'Pseudo-load coefficients'!N290</f>
        <v>1.3003241116246682</v>
      </c>
      <c r="O101" s="194">
        <f>'Pseudo-load coefficients'!O290</f>
        <v>1.1962947565212105</v>
      </c>
      <c r="P101" s="194">
        <f>'Pseudo-load coefficients'!P290</f>
        <v>1.089765744877023</v>
      </c>
      <c r="Q101" s="194">
        <f>'Pseudo-load coefficients'!Q290</f>
        <v>1.2053493285703876</v>
      </c>
      <c r="R101" s="194">
        <f>'Pseudo-load coefficients'!R290</f>
        <v>1.0663747095638818</v>
      </c>
      <c r="S101" s="194">
        <f>'Pseudo-load coefficients'!S290</f>
        <v>1.0663747095638818</v>
      </c>
      <c r="T101" s="194">
        <f>'Pseudo-load coefficients'!T290</f>
        <v>1.0663747095638818</v>
      </c>
      <c r="U101" s="194">
        <f>'Pseudo-load coefficients'!U290</f>
        <v>1.0663747095638818</v>
      </c>
      <c r="V101" s="194">
        <f>'Pseudo-load coefficients'!V290</f>
        <v>1.0663747095638818</v>
      </c>
      <c r="W101" s="194">
        <f>'Pseudo-load coefficients'!W290</f>
        <v>1.0663747095638818</v>
      </c>
      <c r="X101" s="194">
        <f>'Pseudo-load coefficients'!X290</f>
        <v>1.0663747095638818</v>
      </c>
      <c r="Y101" s="194">
        <f>'Pseudo-load coefficients'!Y290</f>
        <v>1.0663747095638818</v>
      </c>
    </row>
    <row r="102" spans="3:25" x14ac:dyDescent="0.25">
      <c r="E102" s="32"/>
      <c r="F102" s="192" t="s">
        <v>199</v>
      </c>
      <c r="G102" s="67" t="s">
        <v>283</v>
      </c>
      <c r="H102" s="37"/>
      <c r="I102" s="37"/>
      <c r="J102" s="195">
        <f>'Pseudo-load coefficients'!J291</f>
        <v>1.7658339101040399</v>
      </c>
      <c r="K102" s="195">
        <f>'Pseudo-load coefficients'!K291</f>
        <v>1.7658339101040399</v>
      </c>
      <c r="L102" s="195">
        <f>'Pseudo-load coefficients'!L291</f>
        <v>1.529624678897552</v>
      </c>
      <c r="M102" s="195">
        <f>'Pseudo-load coefficients'!M291</f>
        <v>1.529624678897552</v>
      </c>
      <c r="N102" s="195">
        <f>'Pseudo-load coefficients'!N291</f>
        <v>1.3003241116246682</v>
      </c>
      <c r="O102" s="195">
        <f>'Pseudo-load coefficients'!O291</f>
        <v>1.1962947565212105</v>
      </c>
      <c r="P102" s="195">
        <f>'Pseudo-load coefficients'!P291</f>
        <v>1.089765744877023</v>
      </c>
      <c r="Q102" s="195">
        <f>'Pseudo-load coefficients'!Q291</f>
        <v>1.2053493285703876</v>
      </c>
      <c r="R102" s="195">
        <f>'Pseudo-load coefficients'!R291</f>
        <v>1.0663747095638818</v>
      </c>
      <c r="S102" s="195">
        <f>'Pseudo-load coefficients'!S291</f>
        <v>1.0663747095638818</v>
      </c>
      <c r="T102" s="195">
        <f>'Pseudo-load coefficients'!T291</f>
        <v>1.0663747095638818</v>
      </c>
      <c r="U102" s="195">
        <f>'Pseudo-load coefficients'!U291</f>
        <v>1.0663747095638818</v>
      </c>
      <c r="V102" s="195">
        <f>'Pseudo-load coefficients'!V291</f>
        <v>1.0663747095638818</v>
      </c>
      <c r="W102" s="195">
        <f>'Pseudo-load coefficients'!W291</f>
        <v>1.0663747095638818</v>
      </c>
      <c r="X102" s="195">
        <f>'Pseudo-load coefficients'!X291</f>
        <v>1.0663747095638818</v>
      </c>
      <c r="Y102" s="195">
        <f>'Pseudo-load coefficients'!Y291</f>
        <v>1.0663747095638818</v>
      </c>
    </row>
    <row r="103" spans="3:25" x14ac:dyDescent="0.25">
      <c r="E103" s="32"/>
      <c r="J103" s="163"/>
      <c r="K103" s="163"/>
      <c r="L103" s="163"/>
      <c r="M103" s="163"/>
      <c r="N103" s="163"/>
      <c r="O103" s="163"/>
      <c r="P103" s="163"/>
      <c r="Q103" s="163"/>
      <c r="R103" s="163"/>
      <c r="S103" s="163"/>
      <c r="T103" s="163"/>
      <c r="U103" s="163"/>
      <c r="V103" s="163"/>
      <c r="W103" s="163"/>
      <c r="X103" s="163"/>
      <c r="Y103" s="163"/>
    </row>
    <row r="104" spans="3:25" x14ac:dyDescent="0.25">
      <c r="E104" s="32" t="s">
        <v>513</v>
      </c>
      <c r="J104" s="163"/>
      <c r="K104" s="163"/>
      <c r="L104" s="163"/>
      <c r="M104" s="163"/>
      <c r="N104" s="163"/>
      <c r="O104" s="163"/>
      <c r="P104" s="163"/>
      <c r="Q104" s="163"/>
      <c r="R104" s="163"/>
      <c r="S104" s="163"/>
      <c r="T104" s="163"/>
      <c r="U104" s="163"/>
      <c r="V104" s="163"/>
      <c r="W104" s="163"/>
      <c r="X104" s="163"/>
      <c r="Y104" s="163"/>
    </row>
    <row r="105" spans="3:25" x14ac:dyDescent="0.25">
      <c r="C105" s="32"/>
      <c r="E105" s="32"/>
      <c r="F105" s="190" t="s">
        <v>189</v>
      </c>
      <c r="G105" s="64" t="s">
        <v>283</v>
      </c>
      <c r="H105" s="23"/>
      <c r="I105" s="23"/>
      <c r="J105" s="193">
        <f>'Pseudo-load coefficients'!J294</f>
        <v>0</v>
      </c>
      <c r="K105" s="193">
        <f>'Pseudo-load coefficients'!K294</f>
        <v>0</v>
      </c>
      <c r="L105" s="193">
        <f>'Pseudo-load coefficients'!L294</f>
        <v>0</v>
      </c>
      <c r="M105" s="193">
        <f>'Pseudo-load coefficients'!M294</f>
        <v>0</v>
      </c>
      <c r="N105" s="193">
        <f>'Pseudo-load coefficients'!N294</f>
        <v>0</v>
      </c>
      <c r="O105" s="193">
        <f>'Pseudo-load coefficients'!O294</f>
        <v>0</v>
      </c>
      <c r="P105" s="193">
        <f>'Pseudo-load coefficients'!P294</f>
        <v>0</v>
      </c>
      <c r="Q105" s="193">
        <f>'Pseudo-load coefficients'!Q294</f>
        <v>0</v>
      </c>
      <c r="R105" s="193">
        <f>'Pseudo-load coefficients'!R294</f>
        <v>0</v>
      </c>
      <c r="S105" s="193">
        <f>'Pseudo-load coefficients'!S294</f>
        <v>0</v>
      </c>
      <c r="T105" s="193">
        <f>'Pseudo-load coefficients'!T294</f>
        <v>0</v>
      </c>
      <c r="U105" s="193">
        <f>'Pseudo-load coefficients'!U294</f>
        <v>0</v>
      </c>
      <c r="V105" s="193">
        <f>'Pseudo-load coefficients'!V294</f>
        <v>0</v>
      </c>
      <c r="W105" s="193">
        <f>'Pseudo-load coefficients'!W294</f>
        <v>0</v>
      </c>
      <c r="X105" s="193">
        <f>'Pseudo-load coefficients'!X294</f>
        <v>0</v>
      </c>
      <c r="Y105" s="193">
        <f>'Pseudo-load coefficients'!Y294</f>
        <v>0</v>
      </c>
    </row>
    <row r="106" spans="3:25" x14ac:dyDescent="0.25">
      <c r="C106" s="32"/>
      <c r="E106" s="32"/>
      <c r="F106" s="191" t="s">
        <v>191</v>
      </c>
      <c r="G106" s="28" t="s">
        <v>283</v>
      </c>
      <c r="J106" s="194">
        <f>'Pseudo-load coefficients'!J294</f>
        <v>0</v>
      </c>
      <c r="K106" s="194">
        <f>'Pseudo-load coefficients'!K294</f>
        <v>0</v>
      </c>
      <c r="L106" s="194">
        <f>'Pseudo-load coefficients'!L294</f>
        <v>0</v>
      </c>
      <c r="M106" s="194">
        <f>'Pseudo-load coefficients'!M294</f>
        <v>0</v>
      </c>
      <c r="N106" s="194">
        <f>'Pseudo-load coefficients'!N294</f>
        <v>0</v>
      </c>
      <c r="O106" s="194">
        <f>'Pseudo-load coefficients'!O294</f>
        <v>0</v>
      </c>
      <c r="P106" s="194">
        <f>'Pseudo-load coefficients'!P294</f>
        <v>0</v>
      </c>
      <c r="Q106" s="194">
        <f>'Pseudo-load coefficients'!Q294</f>
        <v>0</v>
      </c>
      <c r="R106" s="194">
        <f>'Pseudo-load coefficients'!R294</f>
        <v>0</v>
      </c>
      <c r="S106" s="194">
        <f>'Pseudo-load coefficients'!S294</f>
        <v>0</v>
      </c>
      <c r="T106" s="194">
        <f>'Pseudo-load coefficients'!T294</f>
        <v>0</v>
      </c>
      <c r="U106" s="194">
        <f>'Pseudo-load coefficients'!U294</f>
        <v>0</v>
      </c>
      <c r="V106" s="194">
        <f>'Pseudo-load coefficients'!V294</f>
        <v>0</v>
      </c>
      <c r="W106" s="194">
        <f>'Pseudo-load coefficients'!W294</f>
        <v>0</v>
      </c>
      <c r="X106" s="194">
        <f>'Pseudo-load coefficients'!X294</f>
        <v>0</v>
      </c>
      <c r="Y106" s="194">
        <f>'Pseudo-load coefficients'!Y294</f>
        <v>0</v>
      </c>
    </row>
    <row r="107" spans="3:25" x14ac:dyDescent="0.25">
      <c r="C107" s="32"/>
      <c r="E107" s="32"/>
      <c r="F107" s="191" t="s">
        <v>192</v>
      </c>
      <c r="G107" s="28" t="s">
        <v>283</v>
      </c>
      <c r="J107" s="194">
        <f>'Pseudo-load coefficients'!J295</f>
        <v>5.7563590020385365E-2</v>
      </c>
      <c r="K107" s="194">
        <f>'Pseudo-load coefficients'!K295</f>
        <v>5.7563590020385365E-2</v>
      </c>
      <c r="L107" s="194">
        <f>'Pseudo-load coefficients'!L295</f>
        <v>4.9863516266903316E-2</v>
      </c>
      <c r="M107" s="194">
        <f>'Pseudo-load coefficients'!M295</f>
        <v>4.9863516266903316E-2</v>
      </c>
      <c r="N107" s="194">
        <f>'Pseudo-load coefficients'!N295</f>
        <v>4.2388654803199526E-2</v>
      </c>
      <c r="O107" s="194">
        <f>'Pseudo-load coefficients'!O295</f>
        <v>3.8997450730723818E-2</v>
      </c>
      <c r="P107" s="194">
        <f>'Pseudo-load coefficients'!P295</f>
        <v>3.5524761529052769E-2</v>
      </c>
      <c r="Q107" s="194">
        <f>'Pseudo-load coefficients'!Q295</f>
        <v>4.4175981302415214E-2</v>
      </c>
      <c r="R107" s="194">
        <f>'Pseudo-load coefficients'!R295</f>
        <v>3.4762248158336784E-2</v>
      </c>
      <c r="S107" s="194">
        <f>'Pseudo-load coefficients'!S295</f>
        <v>3.4762248158336784E-2</v>
      </c>
      <c r="T107" s="194">
        <f>'Pseudo-load coefficients'!T295</f>
        <v>3.4762248158336784E-2</v>
      </c>
      <c r="U107" s="194">
        <f>'Pseudo-load coefficients'!U295</f>
        <v>3.4762248158336784E-2</v>
      </c>
      <c r="V107" s="194">
        <f>'Pseudo-load coefficients'!V295</f>
        <v>3.4762248158336784E-2</v>
      </c>
      <c r="W107" s="194">
        <f>'Pseudo-load coefficients'!W295</f>
        <v>3.4762248158336784E-2</v>
      </c>
      <c r="X107" s="194">
        <f>'Pseudo-load coefficients'!X295</f>
        <v>3.4762248158336784E-2</v>
      </c>
      <c r="Y107" s="194">
        <f>'Pseudo-load coefficients'!Y295</f>
        <v>3.4762248158336784E-2</v>
      </c>
    </row>
    <row r="108" spans="3:25" x14ac:dyDescent="0.25">
      <c r="C108" s="32"/>
      <c r="E108" s="32"/>
      <c r="F108" s="191" t="s">
        <v>193</v>
      </c>
      <c r="G108" s="28" t="s">
        <v>283</v>
      </c>
      <c r="J108" s="194">
        <f>'Pseudo-load coefficients'!J296</f>
        <v>5.7563590020385365E-2</v>
      </c>
      <c r="K108" s="194">
        <f>'Pseudo-load coefficients'!K296</f>
        <v>5.7563590020385365E-2</v>
      </c>
      <c r="L108" s="194">
        <f>'Pseudo-load coefficients'!L296</f>
        <v>4.9863516266903316E-2</v>
      </c>
      <c r="M108" s="194">
        <f>'Pseudo-load coefficients'!M296</f>
        <v>4.9863516266903316E-2</v>
      </c>
      <c r="N108" s="194">
        <f>'Pseudo-load coefficients'!N296</f>
        <v>4.2388654803199526E-2</v>
      </c>
      <c r="O108" s="194">
        <f>'Pseudo-load coefficients'!O296</f>
        <v>3.8997450730723818E-2</v>
      </c>
      <c r="P108" s="194">
        <f>'Pseudo-load coefficients'!P296</f>
        <v>3.5524761529052769E-2</v>
      </c>
      <c r="Q108" s="194">
        <f>'Pseudo-load coefficients'!Q296</f>
        <v>4.4175981302415214E-2</v>
      </c>
      <c r="R108" s="194">
        <f>'Pseudo-load coefficients'!R296</f>
        <v>3.4762248158336784E-2</v>
      </c>
      <c r="S108" s="194">
        <f>'Pseudo-load coefficients'!S296</f>
        <v>3.4762248158336784E-2</v>
      </c>
      <c r="T108" s="194">
        <f>'Pseudo-load coefficients'!T296</f>
        <v>3.4762248158336784E-2</v>
      </c>
      <c r="U108" s="194">
        <f>'Pseudo-load coefficients'!U296</f>
        <v>3.4762248158336784E-2</v>
      </c>
      <c r="V108" s="194">
        <f>'Pseudo-load coefficients'!V296</f>
        <v>3.4762248158336784E-2</v>
      </c>
      <c r="W108" s="194">
        <f>'Pseudo-load coefficients'!W296</f>
        <v>3.4762248158336784E-2</v>
      </c>
      <c r="X108" s="194">
        <f>'Pseudo-load coefficients'!X296</f>
        <v>3.4762248158336784E-2</v>
      </c>
      <c r="Y108" s="194">
        <f>'Pseudo-load coefficients'!Y296</f>
        <v>3.4762248158336784E-2</v>
      </c>
    </row>
    <row r="109" spans="3:25" x14ac:dyDescent="0.25">
      <c r="C109" s="32"/>
      <c r="E109" s="32"/>
      <c r="F109" s="191" t="s">
        <v>194</v>
      </c>
      <c r="G109" s="28" t="s">
        <v>283</v>
      </c>
      <c r="J109" s="194">
        <f>'Pseudo-load coefficients'!J297</f>
        <v>0.12108790972637158</v>
      </c>
      <c r="K109" s="194">
        <f>'Pseudo-load coefficients'!K297</f>
        <v>0.12108790972637158</v>
      </c>
      <c r="L109" s="194">
        <f>'Pseudo-load coefficients'!L297</f>
        <v>0.10489041691506767</v>
      </c>
      <c r="M109" s="194">
        <f>'Pseudo-load coefficients'!M297</f>
        <v>0.10489041691506767</v>
      </c>
      <c r="N109" s="194">
        <f>'Pseudo-load coefficients'!N297</f>
        <v>8.9166669493936299E-2</v>
      </c>
      <c r="O109" s="194">
        <f>'Pseudo-load coefficients'!O297</f>
        <v>8.2033100992628061E-2</v>
      </c>
      <c r="P109" s="194">
        <f>'Pseudo-load coefficients'!P297</f>
        <v>7.4728124419575992E-2</v>
      </c>
      <c r="Q109" s="194">
        <f>'Pseudo-load coefficients'!Q297</f>
        <v>9.2926400770459147E-2</v>
      </c>
      <c r="R109" s="194">
        <f>'Pseudo-load coefficients'!R297</f>
        <v>7.3124139154485485E-2</v>
      </c>
      <c r="S109" s="194">
        <f>'Pseudo-load coefficients'!S297</f>
        <v>7.3124139154485485E-2</v>
      </c>
      <c r="T109" s="194">
        <f>'Pseudo-load coefficients'!T297</f>
        <v>7.3124139154485485E-2</v>
      </c>
      <c r="U109" s="194">
        <f>'Pseudo-load coefficients'!U297</f>
        <v>7.3124139154485485E-2</v>
      </c>
      <c r="V109" s="194">
        <f>'Pseudo-load coefficients'!V297</f>
        <v>7.3124139154485485E-2</v>
      </c>
      <c r="W109" s="194">
        <f>'Pseudo-load coefficients'!W297</f>
        <v>7.3124139154485485E-2</v>
      </c>
      <c r="X109" s="194">
        <f>'Pseudo-load coefficients'!X297</f>
        <v>7.3124139154485485E-2</v>
      </c>
      <c r="Y109" s="194">
        <f>'Pseudo-load coefficients'!Y297</f>
        <v>7.3124139154485485E-2</v>
      </c>
    </row>
    <row r="110" spans="3:25" x14ac:dyDescent="0.25">
      <c r="C110" s="32"/>
      <c r="E110" s="32"/>
      <c r="F110" s="191" t="s">
        <v>195</v>
      </c>
      <c r="G110" s="28" t="s">
        <v>283</v>
      </c>
      <c r="J110" s="194">
        <f>'Pseudo-load coefficients'!J298</f>
        <v>0.12108790972637158</v>
      </c>
      <c r="K110" s="194">
        <f>'Pseudo-load coefficients'!K298</f>
        <v>0.12108790972637158</v>
      </c>
      <c r="L110" s="194">
        <f>'Pseudo-load coefficients'!L298</f>
        <v>0.10489041691506767</v>
      </c>
      <c r="M110" s="194">
        <f>'Pseudo-load coefficients'!M298</f>
        <v>0.10489041691506767</v>
      </c>
      <c r="N110" s="194">
        <f>'Pseudo-load coefficients'!N298</f>
        <v>8.9166669493936299E-2</v>
      </c>
      <c r="O110" s="194">
        <f>'Pseudo-load coefficients'!O298</f>
        <v>8.2033100992628061E-2</v>
      </c>
      <c r="P110" s="194">
        <f>'Pseudo-load coefficients'!P298</f>
        <v>7.4728124419575992E-2</v>
      </c>
      <c r="Q110" s="194">
        <f>'Pseudo-load coefficients'!Q298</f>
        <v>9.2926400770459147E-2</v>
      </c>
      <c r="R110" s="194">
        <f>'Pseudo-load coefficients'!R298</f>
        <v>7.3124139154485485E-2</v>
      </c>
      <c r="S110" s="194">
        <f>'Pseudo-load coefficients'!S298</f>
        <v>7.3124139154485485E-2</v>
      </c>
      <c r="T110" s="194">
        <f>'Pseudo-load coefficients'!T298</f>
        <v>7.3124139154485485E-2</v>
      </c>
      <c r="U110" s="194">
        <f>'Pseudo-load coefficients'!U298</f>
        <v>7.3124139154485485E-2</v>
      </c>
      <c r="V110" s="194">
        <f>'Pseudo-load coefficients'!V298</f>
        <v>7.3124139154485485E-2</v>
      </c>
      <c r="W110" s="194">
        <f>'Pseudo-load coefficients'!W298</f>
        <v>7.3124139154485485E-2</v>
      </c>
      <c r="X110" s="194">
        <f>'Pseudo-load coefficients'!X298</f>
        <v>7.3124139154485485E-2</v>
      </c>
      <c r="Y110" s="194">
        <f>'Pseudo-load coefficients'!Y298</f>
        <v>7.3124139154485485E-2</v>
      </c>
    </row>
    <row r="111" spans="3:25" x14ac:dyDescent="0.25">
      <c r="C111" s="32"/>
      <c r="E111" s="32"/>
      <c r="F111" s="191" t="s">
        <v>196</v>
      </c>
      <c r="G111" s="28" t="s">
        <v>283</v>
      </c>
      <c r="J111" s="194">
        <f>'Pseudo-load coefficients'!J299</f>
        <v>5.7563590020385365E-2</v>
      </c>
      <c r="K111" s="194">
        <f>'Pseudo-load coefficients'!K299</f>
        <v>5.7563590020385365E-2</v>
      </c>
      <c r="L111" s="194">
        <f>'Pseudo-load coefficients'!L299</f>
        <v>4.9863516266903316E-2</v>
      </c>
      <c r="M111" s="194">
        <f>'Pseudo-load coefficients'!M299</f>
        <v>4.9863516266903316E-2</v>
      </c>
      <c r="N111" s="194">
        <f>'Pseudo-load coefficients'!N299</f>
        <v>4.2388654803199526E-2</v>
      </c>
      <c r="O111" s="194">
        <f>'Pseudo-load coefficients'!O299</f>
        <v>3.8997450730723818E-2</v>
      </c>
      <c r="P111" s="194">
        <f>'Pseudo-load coefficients'!P299</f>
        <v>3.5524761529052769E-2</v>
      </c>
      <c r="Q111" s="194">
        <f>'Pseudo-load coefficients'!Q299</f>
        <v>4.4175981302415214E-2</v>
      </c>
      <c r="R111" s="194">
        <f>'Pseudo-load coefficients'!R299</f>
        <v>3.4762248158336784E-2</v>
      </c>
      <c r="S111" s="194">
        <f>'Pseudo-load coefficients'!S299</f>
        <v>3.4762248158336784E-2</v>
      </c>
      <c r="T111" s="194">
        <f>'Pseudo-load coefficients'!T299</f>
        <v>3.4762248158336784E-2</v>
      </c>
      <c r="U111" s="194">
        <f>'Pseudo-load coefficients'!U299</f>
        <v>3.4762248158336784E-2</v>
      </c>
      <c r="V111" s="194">
        <f>'Pseudo-load coefficients'!V299</f>
        <v>3.4762248158336784E-2</v>
      </c>
      <c r="W111" s="194">
        <f>'Pseudo-load coefficients'!W299</f>
        <v>3.4762248158336784E-2</v>
      </c>
      <c r="X111" s="194">
        <f>'Pseudo-load coefficients'!X299</f>
        <v>3.4762248158336784E-2</v>
      </c>
      <c r="Y111" s="194">
        <f>'Pseudo-load coefficients'!Y299</f>
        <v>3.4762248158336784E-2</v>
      </c>
    </row>
    <row r="112" spans="3:25" x14ac:dyDescent="0.25">
      <c r="C112" s="32"/>
      <c r="E112" s="32"/>
      <c r="F112" s="191" t="s">
        <v>197</v>
      </c>
      <c r="G112" s="28" t="s">
        <v>283</v>
      </c>
      <c r="J112" s="194">
        <f>'Pseudo-load coefficients'!J300</f>
        <v>0.12108790972637158</v>
      </c>
      <c r="K112" s="194">
        <f>'Pseudo-load coefficients'!K300</f>
        <v>0.12108790972637158</v>
      </c>
      <c r="L112" s="194">
        <f>'Pseudo-load coefficients'!L300</f>
        <v>0.10489041691506767</v>
      </c>
      <c r="M112" s="194">
        <f>'Pseudo-load coefficients'!M300</f>
        <v>0.10489041691506767</v>
      </c>
      <c r="N112" s="194">
        <f>'Pseudo-load coefficients'!N300</f>
        <v>8.9166669493936299E-2</v>
      </c>
      <c r="O112" s="194">
        <f>'Pseudo-load coefficients'!O300</f>
        <v>8.2033100992628061E-2</v>
      </c>
      <c r="P112" s="194">
        <f>'Pseudo-load coefficients'!P300</f>
        <v>7.4728124419575992E-2</v>
      </c>
      <c r="Q112" s="194">
        <f>'Pseudo-load coefficients'!Q300</f>
        <v>9.2926400770459147E-2</v>
      </c>
      <c r="R112" s="194">
        <f>'Pseudo-load coefficients'!R300</f>
        <v>7.3124139154485485E-2</v>
      </c>
      <c r="S112" s="194">
        <f>'Pseudo-load coefficients'!S300</f>
        <v>7.3124139154485485E-2</v>
      </c>
      <c r="T112" s="194">
        <f>'Pseudo-load coefficients'!T300</f>
        <v>7.3124139154485485E-2</v>
      </c>
      <c r="U112" s="194">
        <f>'Pseudo-load coefficients'!U300</f>
        <v>7.3124139154485485E-2</v>
      </c>
      <c r="V112" s="194">
        <f>'Pseudo-load coefficients'!V300</f>
        <v>7.3124139154485485E-2</v>
      </c>
      <c r="W112" s="194">
        <f>'Pseudo-load coefficients'!W300</f>
        <v>7.3124139154485485E-2</v>
      </c>
      <c r="X112" s="194">
        <f>'Pseudo-load coefficients'!X300</f>
        <v>7.3124139154485485E-2</v>
      </c>
      <c r="Y112" s="194">
        <f>'Pseudo-load coefficients'!Y300</f>
        <v>7.3124139154485485E-2</v>
      </c>
    </row>
    <row r="113" spans="2:27" x14ac:dyDescent="0.25">
      <c r="C113" s="32"/>
      <c r="E113" s="32"/>
      <c r="F113" s="191" t="s">
        <v>198</v>
      </c>
      <c r="G113" s="28" t="s">
        <v>283</v>
      </c>
      <c r="J113" s="194">
        <f>'Pseudo-load coefficients'!J301</f>
        <v>0.12108790972637158</v>
      </c>
      <c r="K113" s="194">
        <f>'Pseudo-load coefficients'!K301</f>
        <v>0.12108790972637158</v>
      </c>
      <c r="L113" s="194">
        <f>'Pseudo-load coefficients'!L301</f>
        <v>0.10489041691506767</v>
      </c>
      <c r="M113" s="194">
        <f>'Pseudo-load coefficients'!M301</f>
        <v>0.10489041691506767</v>
      </c>
      <c r="N113" s="194">
        <f>'Pseudo-load coefficients'!N301</f>
        <v>8.9166669493936299E-2</v>
      </c>
      <c r="O113" s="194">
        <f>'Pseudo-load coefficients'!O301</f>
        <v>8.2033100992628061E-2</v>
      </c>
      <c r="P113" s="194">
        <f>'Pseudo-load coefficients'!P301</f>
        <v>7.4728124419575992E-2</v>
      </c>
      <c r="Q113" s="194">
        <f>'Pseudo-load coefficients'!Q301</f>
        <v>9.2926400770459147E-2</v>
      </c>
      <c r="R113" s="194">
        <f>'Pseudo-load coefficients'!R301</f>
        <v>7.3124139154485485E-2</v>
      </c>
      <c r="S113" s="194">
        <f>'Pseudo-load coefficients'!S301</f>
        <v>7.3124139154485485E-2</v>
      </c>
      <c r="T113" s="194">
        <f>'Pseudo-load coefficients'!T301</f>
        <v>7.3124139154485485E-2</v>
      </c>
      <c r="U113" s="194">
        <f>'Pseudo-load coefficients'!U301</f>
        <v>7.3124139154485485E-2</v>
      </c>
      <c r="V113" s="194">
        <f>'Pseudo-load coefficients'!V301</f>
        <v>7.3124139154485485E-2</v>
      </c>
      <c r="W113" s="194">
        <f>'Pseudo-load coefficients'!W301</f>
        <v>7.3124139154485485E-2</v>
      </c>
      <c r="X113" s="194">
        <f>'Pseudo-load coefficients'!X301</f>
        <v>7.3124139154485485E-2</v>
      </c>
      <c r="Y113" s="194">
        <f>'Pseudo-load coefficients'!Y301</f>
        <v>7.3124139154485485E-2</v>
      </c>
    </row>
    <row r="114" spans="2:27" x14ac:dyDescent="0.25">
      <c r="C114" s="32"/>
      <c r="E114" s="32"/>
      <c r="F114" s="192" t="s">
        <v>199</v>
      </c>
      <c r="G114" s="67" t="s">
        <v>283</v>
      </c>
      <c r="H114" s="37"/>
      <c r="I114" s="37"/>
      <c r="J114" s="195">
        <f>'Pseudo-load coefficients'!J302</f>
        <v>0.12108790972637158</v>
      </c>
      <c r="K114" s="195">
        <f>'Pseudo-load coefficients'!K302</f>
        <v>0.12108790972637158</v>
      </c>
      <c r="L114" s="195">
        <f>'Pseudo-load coefficients'!L302</f>
        <v>0.10489041691506767</v>
      </c>
      <c r="M114" s="195">
        <f>'Pseudo-load coefficients'!M302</f>
        <v>0.10489041691506767</v>
      </c>
      <c r="N114" s="195">
        <f>'Pseudo-load coefficients'!N302</f>
        <v>8.9166669493936299E-2</v>
      </c>
      <c r="O114" s="195">
        <f>'Pseudo-load coefficients'!O302</f>
        <v>8.2033100992628061E-2</v>
      </c>
      <c r="P114" s="195">
        <f>'Pseudo-load coefficients'!P302</f>
        <v>7.4728124419575992E-2</v>
      </c>
      <c r="Q114" s="195">
        <f>'Pseudo-load coefficients'!Q302</f>
        <v>9.2926400770459147E-2</v>
      </c>
      <c r="R114" s="195">
        <f>'Pseudo-load coefficients'!R302</f>
        <v>7.3124139154485485E-2</v>
      </c>
      <c r="S114" s="195">
        <f>'Pseudo-load coefficients'!S302</f>
        <v>7.3124139154485485E-2</v>
      </c>
      <c r="T114" s="195">
        <f>'Pseudo-load coefficients'!T302</f>
        <v>7.3124139154485485E-2</v>
      </c>
      <c r="U114" s="195">
        <f>'Pseudo-load coefficients'!U302</f>
        <v>7.3124139154485485E-2</v>
      </c>
      <c r="V114" s="195">
        <f>'Pseudo-load coefficients'!V302</f>
        <v>7.3124139154485485E-2</v>
      </c>
      <c r="W114" s="195">
        <f>'Pseudo-load coefficients'!W302</f>
        <v>7.3124139154485485E-2</v>
      </c>
      <c r="X114" s="195">
        <f>'Pseudo-load coefficients'!X302</f>
        <v>7.3124139154485485E-2</v>
      </c>
      <c r="Y114" s="195">
        <f>'Pseudo-load coefficients'!Y302</f>
        <v>7.3124139154485485E-2</v>
      </c>
    </row>
    <row r="115" spans="2:27" x14ac:dyDescent="0.25">
      <c r="C115" s="32"/>
      <c r="D115" s="32"/>
      <c r="E115" s="32"/>
      <c r="J115" s="163"/>
      <c r="K115" s="163"/>
      <c r="L115" s="163"/>
      <c r="M115" s="163"/>
      <c r="N115" s="163"/>
      <c r="O115" s="163"/>
      <c r="P115" s="163"/>
      <c r="Q115" s="163"/>
      <c r="R115" s="163"/>
      <c r="S115" s="163"/>
      <c r="T115" s="163"/>
      <c r="U115" s="163"/>
      <c r="V115" s="163"/>
      <c r="W115" s="163"/>
      <c r="X115" s="163"/>
      <c r="Y115" s="163"/>
    </row>
    <row r="116" spans="2:27" x14ac:dyDescent="0.25">
      <c r="B116" s="30" t="s">
        <v>619</v>
      </c>
      <c r="C116" s="30"/>
      <c r="D116" s="30"/>
      <c r="E116" s="30"/>
      <c r="F116" s="30"/>
      <c r="G116" s="30"/>
      <c r="H116" s="30"/>
      <c r="I116" s="30"/>
      <c r="J116" s="184"/>
      <c r="K116" s="184"/>
      <c r="L116" s="184"/>
      <c r="M116" s="184"/>
      <c r="N116" s="184"/>
      <c r="O116" s="184"/>
      <c r="P116" s="184"/>
      <c r="Q116" s="184"/>
      <c r="R116" s="184"/>
      <c r="S116" s="184"/>
      <c r="T116" s="184"/>
      <c r="U116" s="184"/>
      <c r="V116" s="184"/>
      <c r="W116" s="184"/>
      <c r="X116" s="184"/>
      <c r="Y116" s="184"/>
      <c r="Z116" s="30"/>
      <c r="AA116" s="30"/>
    </row>
    <row r="117" spans="2:27" x14ac:dyDescent="0.25">
      <c r="J117" s="89"/>
      <c r="K117" s="89"/>
      <c r="L117" s="89"/>
      <c r="M117" s="89"/>
      <c r="N117" s="89"/>
      <c r="O117" s="89"/>
      <c r="P117" s="89"/>
      <c r="Q117" s="89"/>
      <c r="R117" s="89"/>
      <c r="S117" s="89"/>
      <c r="T117" s="89"/>
      <c r="U117" s="89"/>
      <c r="V117" s="89"/>
      <c r="W117" s="89"/>
      <c r="X117" s="89"/>
      <c r="Y117" s="89"/>
    </row>
    <row r="118" spans="2:27" x14ac:dyDescent="0.25">
      <c r="C118" s="31" t="str">
        <f ca="1">INDEX('Version control'!$H$34:$H$57,MATCH($A$1,'Version control'!$F$34:$F$57,0),1)&amp;"-B: Yardstick charges"</f>
        <v>Section 109-B: Yardstick charges</v>
      </c>
      <c r="D118" s="31"/>
      <c r="E118" s="31"/>
      <c r="F118" s="31"/>
      <c r="G118" s="31"/>
      <c r="H118" s="31"/>
      <c r="I118" s="31"/>
      <c r="J118" s="198"/>
      <c r="K118" s="198"/>
      <c r="L118" s="198"/>
      <c r="M118" s="198"/>
      <c r="N118" s="198"/>
      <c r="O118" s="198"/>
      <c r="P118" s="198"/>
      <c r="Q118" s="198"/>
      <c r="R118" s="198"/>
      <c r="S118" s="198"/>
      <c r="T118" s="198"/>
      <c r="U118" s="198"/>
      <c r="V118" s="198"/>
      <c r="W118" s="198"/>
      <c r="X118" s="198"/>
      <c r="Y118" s="198"/>
      <c r="Z118" s="31"/>
      <c r="AA118" s="31"/>
    </row>
    <row r="119" spans="2:27" x14ac:dyDescent="0.25">
      <c r="C119" s="32"/>
      <c r="D119" s="32"/>
      <c r="E119" s="32"/>
      <c r="J119" s="89"/>
      <c r="K119" s="89"/>
      <c r="L119" s="89"/>
      <c r="M119" s="89"/>
      <c r="N119" s="89"/>
      <c r="O119" s="89"/>
      <c r="P119" s="89"/>
      <c r="Q119" s="89"/>
      <c r="R119" s="89"/>
      <c r="S119" s="89"/>
      <c r="T119" s="89"/>
      <c r="U119" s="89"/>
      <c r="V119" s="89"/>
      <c r="W119" s="89"/>
      <c r="X119" s="89"/>
      <c r="Y119" s="89"/>
    </row>
    <row r="120" spans="2:27" x14ac:dyDescent="0.25">
      <c r="D120" s="29" t="s">
        <v>620</v>
      </c>
      <c r="E120" s="32"/>
      <c r="F120" s="32"/>
      <c r="J120" s="163"/>
      <c r="K120" s="163"/>
      <c r="L120" s="163"/>
      <c r="M120" s="163"/>
      <c r="N120" s="163"/>
      <c r="O120" s="163"/>
      <c r="P120" s="163"/>
      <c r="Q120" s="163"/>
      <c r="R120" s="163"/>
      <c r="S120" s="163"/>
      <c r="T120" s="163"/>
      <c r="U120" s="163"/>
      <c r="V120" s="163"/>
      <c r="W120" s="163"/>
      <c r="X120" s="163"/>
      <c r="Y120" s="163"/>
    </row>
    <row r="121" spans="2:27" x14ac:dyDescent="0.25">
      <c r="D121" s="32"/>
      <c r="E121" s="32"/>
      <c r="F121" s="32"/>
      <c r="I121" s="3" t="s">
        <v>154</v>
      </c>
      <c r="J121" s="163"/>
      <c r="K121" s="163"/>
      <c r="L121" s="163"/>
      <c r="M121" s="163"/>
      <c r="N121" s="163"/>
      <c r="O121" s="163"/>
      <c r="P121" s="163"/>
      <c r="Q121" s="163"/>
      <c r="R121" s="163"/>
      <c r="S121" s="163"/>
      <c r="T121" s="163"/>
      <c r="U121" s="163"/>
      <c r="V121" s="163"/>
      <c r="W121" s="163"/>
      <c r="X121" s="163"/>
      <c r="Y121" s="163"/>
      <c r="AA121" t="s">
        <v>615</v>
      </c>
    </row>
    <row r="122" spans="2:27" x14ac:dyDescent="0.25">
      <c r="E122" s="32" t="s">
        <v>621</v>
      </c>
      <c r="J122" s="89"/>
      <c r="K122" s="89"/>
      <c r="L122" s="89"/>
      <c r="M122" s="89"/>
      <c r="N122" s="89"/>
      <c r="O122" s="89"/>
      <c r="P122" s="89"/>
      <c r="Q122" s="89"/>
      <c r="R122" s="89"/>
      <c r="S122" s="89"/>
      <c r="T122" s="89"/>
      <c r="U122" s="89"/>
      <c r="V122" s="89"/>
      <c r="W122" s="89"/>
      <c r="X122" s="89"/>
      <c r="Y122" s="89"/>
    </row>
    <row r="123" spans="2:27" x14ac:dyDescent="0.25">
      <c r="E123" s="32"/>
      <c r="F123" s="190" t="s">
        <v>189</v>
      </c>
      <c r="G123" s="23" t="s">
        <v>269</v>
      </c>
      <c r="H123" s="267"/>
      <c r="I123" s="267"/>
      <c r="J123" s="279">
        <f t="shared" ref="J123:Y123" si="0">hundred * $H18 * J55 / $H43 * J$78 * (1 - J67) / hours_in_year</f>
        <v>0</v>
      </c>
      <c r="K123" s="279">
        <f t="shared" si="0"/>
        <v>0</v>
      </c>
      <c r="L123" s="279">
        <f t="shared" si="0"/>
        <v>0</v>
      </c>
      <c r="M123" s="279">
        <f t="shared" si="0"/>
        <v>0</v>
      </c>
      <c r="N123" s="279">
        <f t="shared" si="0"/>
        <v>0</v>
      </c>
      <c r="O123" s="279">
        <f t="shared" si="0"/>
        <v>0</v>
      </c>
      <c r="P123" s="279">
        <f t="shared" si="0"/>
        <v>0</v>
      </c>
      <c r="Q123" s="279">
        <f t="shared" si="0"/>
        <v>0</v>
      </c>
      <c r="R123" s="279">
        <f t="shared" si="0"/>
        <v>0</v>
      </c>
      <c r="S123" s="279">
        <f t="shared" si="0"/>
        <v>0</v>
      </c>
      <c r="T123" s="279">
        <f t="shared" si="0"/>
        <v>0</v>
      </c>
      <c r="U123" s="279">
        <f t="shared" si="0"/>
        <v>0</v>
      </c>
      <c r="V123" s="279">
        <f t="shared" si="0"/>
        <v>0</v>
      </c>
      <c r="W123" s="279">
        <f t="shared" si="0"/>
        <v>0</v>
      </c>
      <c r="X123" s="279">
        <f t="shared" si="0"/>
        <v>0</v>
      </c>
      <c r="Y123" s="279">
        <f t="shared" si="0"/>
        <v>0</v>
      </c>
      <c r="Z123" s="269"/>
      <c r="AA123" s="269"/>
    </row>
    <row r="124" spans="2:27" x14ac:dyDescent="0.25">
      <c r="E124" s="32"/>
      <c r="F124" s="191" t="s">
        <v>191</v>
      </c>
      <c r="G124" t="s">
        <v>269</v>
      </c>
      <c r="H124" s="269"/>
      <c r="I124" s="269"/>
      <c r="J124" s="280">
        <f t="shared" ref="J124:Y124" si="1">hundred * $H19 * J56 / $H44 * J$78 * (1 - J68) / hours_in_year</f>
        <v>0</v>
      </c>
      <c r="K124" s="280">
        <f t="shared" si="1"/>
        <v>0</v>
      </c>
      <c r="L124" s="280">
        <f t="shared" si="1"/>
        <v>0</v>
      </c>
      <c r="M124" s="280">
        <f t="shared" si="1"/>
        <v>0</v>
      </c>
      <c r="N124" s="280">
        <f t="shared" si="1"/>
        <v>0</v>
      </c>
      <c r="O124" s="280">
        <f t="shared" si="1"/>
        <v>0</v>
      </c>
      <c r="P124" s="280">
        <f t="shared" si="1"/>
        <v>0</v>
      </c>
      <c r="Q124" s="280">
        <f t="shared" si="1"/>
        <v>0</v>
      </c>
      <c r="R124" s="280">
        <f t="shared" si="1"/>
        <v>0</v>
      </c>
      <c r="S124" s="280">
        <f t="shared" si="1"/>
        <v>0</v>
      </c>
      <c r="T124" s="280">
        <f t="shared" si="1"/>
        <v>0</v>
      </c>
      <c r="U124" s="280">
        <f t="shared" si="1"/>
        <v>0</v>
      </c>
      <c r="V124" s="280">
        <f t="shared" si="1"/>
        <v>0</v>
      </c>
      <c r="W124" s="280">
        <f t="shared" si="1"/>
        <v>0</v>
      </c>
      <c r="X124" s="280">
        <f t="shared" si="1"/>
        <v>0</v>
      </c>
      <c r="Y124" s="280">
        <f t="shared" si="1"/>
        <v>0</v>
      </c>
      <c r="Z124" s="269"/>
      <c r="AA124" s="269"/>
    </row>
    <row r="125" spans="2:27" x14ac:dyDescent="0.25">
      <c r="E125" s="32"/>
      <c r="F125" s="191" t="s">
        <v>192</v>
      </c>
      <c r="G125" t="s">
        <v>269</v>
      </c>
      <c r="H125" s="269"/>
      <c r="I125" s="269"/>
      <c r="J125" s="280">
        <f t="shared" ref="J125:Y125" si="2">hundred * $H20 * J57 / $H45 * J$78 * (1 - J69) / hours_in_year</f>
        <v>0.13631489094366667</v>
      </c>
      <c r="K125" s="280">
        <f t="shared" si="2"/>
        <v>0</v>
      </c>
      <c r="L125" s="280">
        <f t="shared" si="2"/>
        <v>0.108407888461169</v>
      </c>
      <c r="M125" s="280">
        <f t="shared" si="2"/>
        <v>0</v>
      </c>
      <c r="N125" s="280">
        <f t="shared" si="2"/>
        <v>9.0450625423629402E-2</v>
      </c>
      <c r="O125" s="280">
        <f t="shared" si="2"/>
        <v>8.7936209269736193E-2</v>
      </c>
      <c r="P125" s="280">
        <f t="shared" si="2"/>
        <v>6.970545123875975E-2</v>
      </c>
      <c r="Q125" s="280">
        <f t="shared" si="2"/>
        <v>0.12439691100669045</v>
      </c>
      <c r="R125" s="280">
        <f t="shared" si="2"/>
        <v>-6.5115917647158614E-2</v>
      </c>
      <c r="S125" s="280">
        <f t="shared" si="2"/>
        <v>-6.3243381981980581E-2</v>
      </c>
      <c r="T125" s="280">
        <f t="shared" si="2"/>
        <v>-6.5115917647158614E-2</v>
      </c>
      <c r="U125" s="280">
        <f t="shared" si="2"/>
        <v>-6.5115917647158614E-2</v>
      </c>
      <c r="V125" s="280">
        <f t="shared" si="2"/>
        <v>-6.3243381981980581E-2</v>
      </c>
      <c r="W125" s="280">
        <f t="shared" si="2"/>
        <v>-6.3243381981980581E-2</v>
      </c>
      <c r="X125" s="280">
        <f t="shared" si="2"/>
        <v>-6.257893384272388E-2</v>
      </c>
      <c r="Y125" s="280">
        <f t="shared" si="2"/>
        <v>-6.257893384272388E-2</v>
      </c>
      <c r="Z125" s="269"/>
      <c r="AA125" s="269"/>
    </row>
    <row r="126" spans="2:27" x14ac:dyDescent="0.25">
      <c r="E126" s="32"/>
      <c r="F126" s="191" t="s">
        <v>193</v>
      </c>
      <c r="G126" t="s">
        <v>269</v>
      </c>
      <c r="H126" s="269"/>
      <c r="I126" s="269"/>
      <c r="J126" s="280">
        <f t="shared" ref="J126:Y126" si="3">hundred * $H21 * J58 / $H46 * J$78 * (1 - J70) / hours_in_year</f>
        <v>7.1223258568095429E-2</v>
      </c>
      <c r="K126" s="280">
        <f t="shared" si="3"/>
        <v>0</v>
      </c>
      <c r="L126" s="280">
        <f t="shared" si="3"/>
        <v>5.6642110170354962E-2</v>
      </c>
      <c r="M126" s="280">
        <f t="shared" si="3"/>
        <v>0</v>
      </c>
      <c r="N126" s="280">
        <f t="shared" si="3"/>
        <v>4.72596077918985E-2</v>
      </c>
      <c r="O126" s="280">
        <f t="shared" si="3"/>
        <v>4.5945848813427538E-2</v>
      </c>
      <c r="P126" s="280">
        <f t="shared" si="3"/>
        <v>3.6420447852873523E-2</v>
      </c>
      <c r="Q126" s="280">
        <f t="shared" si="3"/>
        <v>6.4996225257322224E-2</v>
      </c>
      <c r="R126" s="280">
        <f t="shared" si="3"/>
        <v>-3.4022459376055886E-2</v>
      </c>
      <c r="S126" s="280">
        <f t="shared" si="3"/>
        <v>-3.3044076963571895E-2</v>
      </c>
      <c r="T126" s="280">
        <f t="shared" si="3"/>
        <v>-3.4022459376055886E-2</v>
      </c>
      <c r="U126" s="280">
        <f t="shared" si="3"/>
        <v>-3.4022459376055886E-2</v>
      </c>
      <c r="V126" s="280">
        <f t="shared" si="3"/>
        <v>-3.3044076963571895E-2</v>
      </c>
      <c r="W126" s="280">
        <f t="shared" si="3"/>
        <v>-3.3044076963571895E-2</v>
      </c>
      <c r="X126" s="280">
        <f t="shared" si="3"/>
        <v>-3.2696909010755004E-2</v>
      </c>
      <c r="Y126" s="280">
        <f t="shared" si="3"/>
        <v>-3.2696909010755004E-2</v>
      </c>
      <c r="Z126" s="269"/>
      <c r="AA126" s="269"/>
    </row>
    <row r="127" spans="2:27" x14ac:dyDescent="0.25">
      <c r="E127" s="32"/>
      <c r="F127" s="191" t="s">
        <v>194</v>
      </c>
      <c r="G127" t="s">
        <v>269</v>
      </c>
      <c r="H127" s="269"/>
      <c r="I127" s="269"/>
      <c r="J127" s="280">
        <f t="shared" ref="J127:Y127" si="4">hundred * $H22 * J59 / $H47 * J$78 * (1 - J71) / hours_in_year</f>
        <v>8.7986692659446739E-2</v>
      </c>
      <c r="K127" s="280">
        <f t="shared" si="4"/>
        <v>0</v>
      </c>
      <c r="L127" s="280">
        <f t="shared" si="4"/>
        <v>6.9973658034427857E-2</v>
      </c>
      <c r="M127" s="280">
        <f t="shared" si="4"/>
        <v>0</v>
      </c>
      <c r="N127" s="280">
        <f t="shared" si="4"/>
        <v>5.8382846693487943E-2</v>
      </c>
      <c r="O127" s="280">
        <f t="shared" si="4"/>
        <v>5.6759875352506733E-2</v>
      </c>
      <c r="P127" s="280">
        <f t="shared" si="4"/>
        <v>4.2049118477254309E-2</v>
      </c>
      <c r="Q127" s="280">
        <f t="shared" si="4"/>
        <v>8.0294036115639428E-2</v>
      </c>
      <c r="R127" s="280">
        <f t="shared" si="4"/>
        <v>-4.2030142074691516E-2</v>
      </c>
      <c r="S127" s="280">
        <f t="shared" si="4"/>
        <v>-4.0821483072543609E-2</v>
      </c>
      <c r="T127" s="280">
        <f t="shared" si="4"/>
        <v>-4.2030142074691516E-2</v>
      </c>
      <c r="U127" s="280">
        <f t="shared" si="4"/>
        <v>-4.2030142074691516E-2</v>
      </c>
      <c r="V127" s="280">
        <f t="shared" si="4"/>
        <v>-4.0821483072543609E-2</v>
      </c>
      <c r="W127" s="280">
        <f t="shared" si="4"/>
        <v>-4.0821483072543609E-2</v>
      </c>
      <c r="X127" s="280">
        <f t="shared" si="4"/>
        <v>-3.7750117911434879E-2</v>
      </c>
      <c r="Y127" s="280">
        <f t="shared" si="4"/>
        <v>-3.7750117911434879E-2</v>
      </c>
      <c r="Z127" s="269"/>
      <c r="AA127" s="269"/>
    </row>
    <row r="128" spans="2:27" x14ac:dyDescent="0.25">
      <c r="E128" s="32"/>
      <c r="F128" s="191" t="s">
        <v>195</v>
      </c>
      <c r="G128" t="s">
        <v>269</v>
      </c>
      <c r="H128" s="269"/>
      <c r="I128" s="269"/>
      <c r="J128" s="280">
        <f t="shared" ref="J128:Y128" si="5">hundred * $H23 * J60 / $H48 * J$78 * (1 - J72) / hours_in_year</f>
        <v>0.14154545805339536</v>
      </c>
      <c r="K128" s="280">
        <f t="shared" si="5"/>
        <v>0</v>
      </c>
      <c r="L128" s="280">
        <f t="shared" si="5"/>
        <v>0.11256763015846058</v>
      </c>
      <c r="M128" s="280">
        <f t="shared" si="5"/>
        <v>0</v>
      </c>
      <c r="N128" s="280">
        <f t="shared" si="5"/>
        <v>9.3921325235807221E-2</v>
      </c>
      <c r="O128" s="280">
        <f t="shared" si="5"/>
        <v>9.1310427895275645E-2</v>
      </c>
      <c r="P128" s="280">
        <f t="shared" si="5"/>
        <v>4.6929134548110062E-2</v>
      </c>
      <c r="Q128" s="280">
        <f t="shared" si="5"/>
        <v>0.12917017082268761</v>
      </c>
      <c r="R128" s="280">
        <f t="shared" si="5"/>
        <v>-6.7614494103532582E-2</v>
      </c>
      <c r="S128" s="280">
        <f t="shared" si="5"/>
        <v>-6.5670106981816884E-2</v>
      </c>
      <c r="T128" s="280">
        <f t="shared" si="5"/>
        <v>-6.7614494103532582E-2</v>
      </c>
      <c r="U128" s="280">
        <f t="shared" si="5"/>
        <v>-6.7614494103532582E-2</v>
      </c>
      <c r="V128" s="280">
        <f t="shared" si="5"/>
        <v>-6.5670106981816884E-2</v>
      </c>
      <c r="W128" s="280">
        <f t="shared" si="5"/>
        <v>-6.5670106981816884E-2</v>
      </c>
      <c r="X128" s="280">
        <f t="shared" si="5"/>
        <v>-4.2131212896438029E-2</v>
      </c>
      <c r="Y128" s="280">
        <f t="shared" si="5"/>
        <v>-4.2131212896438029E-2</v>
      </c>
      <c r="Z128" s="269"/>
      <c r="AA128" s="269"/>
    </row>
    <row r="129" spans="4:27" x14ac:dyDescent="0.25">
      <c r="E129" s="32"/>
      <c r="F129" s="191" t="s">
        <v>196</v>
      </c>
      <c r="G129" t="s">
        <v>269</v>
      </c>
      <c r="H129" s="269"/>
      <c r="I129" s="269"/>
      <c r="J129" s="280">
        <f t="shared" ref="J129:Y129" si="6">hundred * $H24 * J61 / $H49 * J$78 * (1 - J73) / hours_in_year</f>
        <v>1.1919119646475729E-2</v>
      </c>
      <c r="K129" s="280">
        <f t="shared" si="6"/>
        <v>0</v>
      </c>
      <c r="L129" s="280">
        <f t="shared" si="6"/>
        <v>9.478983434938533E-3</v>
      </c>
      <c r="M129" s="280">
        <f t="shared" si="6"/>
        <v>0</v>
      </c>
      <c r="N129" s="280">
        <f t="shared" si="6"/>
        <v>7.908833870309365E-3</v>
      </c>
      <c r="O129" s="280">
        <f t="shared" si="6"/>
        <v>7.6889780147105079E-3</v>
      </c>
      <c r="P129" s="280">
        <f t="shared" si="6"/>
        <v>3.9517620507008838E-3</v>
      </c>
      <c r="Q129" s="280">
        <f t="shared" si="6"/>
        <v>1.0877033724462845E-2</v>
      </c>
      <c r="R129" s="280">
        <f t="shared" si="6"/>
        <v>-5.693614306945264E-3</v>
      </c>
      <c r="S129" s="280">
        <f t="shared" si="6"/>
        <v>-5.5298832832761501E-3</v>
      </c>
      <c r="T129" s="280">
        <f t="shared" si="6"/>
        <v>-5.693614306945264E-3</v>
      </c>
      <c r="U129" s="280">
        <f t="shared" si="6"/>
        <v>-5.693614306945264E-3</v>
      </c>
      <c r="V129" s="280">
        <f t="shared" si="6"/>
        <v>-5.5298832832761501E-3</v>
      </c>
      <c r="W129" s="280">
        <f t="shared" si="6"/>
        <v>-5.5298832832761501E-3</v>
      </c>
      <c r="X129" s="280">
        <f t="shared" si="6"/>
        <v>-3.5477434194628346E-3</v>
      </c>
      <c r="Y129" s="280">
        <f t="shared" si="6"/>
        <v>-3.5477434194628346E-3</v>
      </c>
      <c r="Z129" s="269"/>
      <c r="AA129" s="269"/>
    </row>
    <row r="130" spans="4:27" x14ac:dyDescent="0.25">
      <c r="E130" s="32"/>
      <c r="F130" s="191" t="s">
        <v>197</v>
      </c>
      <c r="G130" t="s">
        <v>269</v>
      </c>
      <c r="H130" s="269"/>
      <c r="I130" s="269"/>
      <c r="J130" s="280">
        <f t="shared" ref="J130:Y130" si="7">hundred * $H25 * J62 / $H50 * J$78 * (1 - J74) / hours_in_year</f>
        <v>0.16985273714438406</v>
      </c>
      <c r="K130" s="280">
        <f t="shared" si="7"/>
        <v>0</v>
      </c>
      <c r="L130" s="280">
        <f t="shared" si="7"/>
        <v>0.13507971473771074</v>
      </c>
      <c r="M130" s="280">
        <f t="shared" si="7"/>
        <v>0</v>
      </c>
      <c r="N130" s="280">
        <f t="shared" si="7"/>
        <v>0.11270438760042645</v>
      </c>
      <c r="O130" s="280">
        <f t="shared" si="7"/>
        <v>0.10957134422488422</v>
      </c>
      <c r="P130" s="280">
        <f t="shared" si="7"/>
        <v>6.0390833998142289E-2</v>
      </c>
      <c r="Q130" s="280">
        <f t="shared" si="7"/>
        <v>0.15500255093571944</v>
      </c>
      <c r="R130" s="280">
        <f t="shared" si="7"/>
        <v>-8.113652710626372E-2</v>
      </c>
      <c r="S130" s="280">
        <f t="shared" si="7"/>
        <v>-7.880328745849545E-2</v>
      </c>
      <c r="T130" s="280">
        <f t="shared" si="7"/>
        <v>-8.113652710626372E-2</v>
      </c>
      <c r="U130" s="280">
        <f t="shared" si="7"/>
        <v>-8.113652710626372E-2</v>
      </c>
      <c r="V130" s="280">
        <f t="shared" si="7"/>
        <v>-7.880328745849545E-2</v>
      </c>
      <c r="W130" s="280">
        <f t="shared" si="7"/>
        <v>-7.880328745849545E-2</v>
      </c>
      <c r="X130" s="280">
        <f t="shared" si="7"/>
        <v>0</v>
      </c>
      <c r="Y130" s="280">
        <f t="shared" si="7"/>
        <v>0</v>
      </c>
      <c r="Z130" s="269"/>
      <c r="AA130" s="269"/>
    </row>
    <row r="131" spans="4:27" x14ac:dyDescent="0.25">
      <c r="E131" s="32"/>
      <c r="F131" s="191" t="s">
        <v>198</v>
      </c>
      <c r="G131" t="s">
        <v>269</v>
      </c>
      <c r="H131" s="269"/>
      <c r="I131" s="269"/>
      <c r="J131" s="280">
        <f t="shared" ref="J131:Y131" si="8">hundred * $H26 * J63 / $H51 * J$78 * (1 - J75) / hours_in_year</f>
        <v>4.3449336875429255E-2</v>
      </c>
      <c r="K131" s="280">
        <f t="shared" si="8"/>
        <v>0</v>
      </c>
      <c r="L131" s="280">
        <f t="shared" si="8"/>
        <v>3.4554191644769354E-2</v>
      </c>
      <c r="M131" s="280">
        <f t="shared" si="8"/>
        <v>0</v>
      </c>
      <c r="N131" s="280">
        <f t="shared" si="8"/>
        <v>2.8830450344919802E-2</v>
      </c>
      <c r="O131" s="280">
        <f t="shared" si="8"/>
        <v>2.8028999279968471E-2</v>
      </c>
      <c r="P131" s="280">
        <f t="shared" si="8"/>
        <v>0</v>
      </c>
      <c r="Q131" s="280">
        <f t="shared" si="8"/>
        <v>3.9650571226485722E-2</v>
      </c>
      <c r="R131" s="280">
        <f t="shared" si="8"/>
        <v>-2.075520452841292E-2</v>
      </c>
      <c r="S131" s="280">
        <f t="shared" si="8"/>
        <v>0</v>
      </c>
      <c r="T131" s="280">
        <f t="shared" si="8"/>
        <v>-2.075520452841292E-2</v>
      </c>
      <c r="U131" s="280">
        <f t="shared" si="8"/>
        <v>-2.075520452841292E-2</v>
      </c>
      <c r="V131" s="280">
        <f t="shared" si="8"/>
        <v>0</v>
      </c>
      <c r="W131" s="280">
        <f t="shared" si="8"/>
        <v>0</v>
      </c>
      <c r="X131" s="280">
        <f t="shared" si="8"/>
        <v>0</v>
      </c>
      <c r="Y131" s="280">
        <f t="shared" si="8"/>
        <v>0</v>
      </c>
      <c r="Z131" s="269"/>
      <c r="AA131" s="269"/>
    </row>
    <row r="132" spans="4:27" x14ac:dyDescent="0.25">
      <c r="E132" s="32"/>
      <c r="F132" s="192" t="s">
        <v>199</v>
      </c>
      <c r="G132" s="37" t="s">
        <v>269</v>
      </c>
      <c r="H132" s="273"/>
      <c r="I132" s="273"/>
      <c r="J132" s="281">
        <f t="shared" ref="J132:Y132" si="9">hundred * $H27 * J64 / $H52 * J$78 * (1 - J76) / hours_in_year</f>
        <v>1.8234291552603202E-2</v>
      </c>
      <c r="K132" s="281">
        <f t="shared" si="9"/>
        <v>0</v>
      </c>
      <c r="L132" s="281">
        <f t="shared" si="9"/>
        <v>1.4501284717455773E-2</v>
      </c>
      <c r="M132" s="281">
        <f t="shared" si="9"/>
        <v>0</v>
      </c>
      <c r="N132" s="281">
        <f t="shared" si="9"/>
        <v>1.2099214280055075E-2</v>
      </c>
      <c r="O132" s="281">
        <f t="shared" si="9"/>
        <v>0</v>
      </c>
      <c r="P132" s="281">
        <f t="shared" si="9"/>
        <v>0</v>
      </c>
      <c r="Q132" s="281">
        <f t="shared" si="9"/>
        <v>1.6640071585991432E-2</v>
      </c>
      <c r="R132" s="281">
        <f t="shared" si="9"/>
        <v>0</v>
      </c>
      <c r="S132" s="281">
        <f t="shared" si="9"/>
        <v>0</v>
      </c>
      <c r="T132" s="281">
        <f t="shared" si="9"/>
        <v>0</v>
      </c>
      <c r="U132" s="281">
        <f t="shared" si="9"/>
        <v>0</v>
      </c>
      <c r="V132" s="281">
        <f t="shared" si="9"/>
        <v>0</v>
      </c>
      <c r="W132" s="281">
        <f t="shared" si="9"/>
        <v>0</v>
      </c>
      <c r="X132" s="281">
        <f t="shared" si="9"/>
        <v>0</v>
      </c>
      <c r="Y132" s="281">
        <f t="shared" si="9"/>
        <v>0</v>
      </c>
      <c r="Z132" s="269"/>
      <c r="AA132" s="269"/>
    </row>
    <row r="133" spans="4:27" x14ac:dyDescent="0.25">
      <c r="E133" s="32"/>
      <c r="F133" s="191"/>
      <c r="J133" s="89"/>
      <c r="K133" s="89"/>
      <c r="L133" s="89"/>
      <c r="M133" s="89"/>
      <c r="N133" s="89"/>
      <c r="O133" s="89"/>
      <c r="P133" s="89"/>
      <c r="Q133" s="89"/>
      <c r="R133" s="89"/>
      <c r="S133" s="89"/>
      <c r="T133" s="89"/>
      <c r="U133" s="89"/>
      <c r="V133" s="89"/>
      <c r="W133" s="89"/>
      <c r="X133" s="89"/>
      <c r="Y133" s="89"/>
    </row>
    <row r="134" spans="4:27" x14ac:dyDescent="0.25">
      <c r="E134" s="32" t="s">
        <v>622</v>
      </c>
      <c r="J134" s="89"/>
      <c r="K134" s="89"/>
      <c r="L134" s="89"/>
      <c r="M134" s="89"/>
      <c r="N134" s="89"/>
      <c r="O134" s="89"/>
      <c r="P134" s="89"/>
      <c r="Q134" s="89"/>
      <c r="R134" s="89"/>
      <c r="S134" s="89"/>
      <c r="T134" s="89"/>
      <c r="U134" s="89"/>
      <c r="V134" s="89"/>
      <c r="W134" s="89"/>
      <c r="X134" s="89"/>
      <c r="Y134" s="89"/>
    </row>
    <row r="135" spans="4:27" x14ac:dyDescent="0.25">
      <c r="D135" s="32"/>
      <c r="E135" s="32"/>
      <c r="F135" s="190" t="s">
        <v>189</v>
      </c>
      <c r="G135" s="23" t="s">
        <v>269</v>
      </c>
      <c r="H135" s="267"/>
      <c r="I135" s="267"/>
      <c r="J135" s="279">
        <f t="shared" ref="J135:Y135" si="10">hundred * $H30 * J55 / $H43 * J$78 / hours_in_year</f>
        <v>7.9758789662922755E-2</v>
      </c>
      <c r="K135" s="279">
        <f t="shared" si="10"/>
        <v>0</v>
      </c>
      <c r="L135" s="279">
        <f t="shared" si="10"/>
        <v>6.3430208642056604E-2</v>
      </c>
      <c r="M135" s="279">
        <f t="shared" si="10"/>
        <v>0</v>
      </c>
      <c r="N135" s="279">
        <f t="shared" si="10"/>
        <v>5.2923289290708643E-2</v>
      </c>
      <c r="O135" s="279">
        <f t="shared" si="10"/>
        <v>5.1452086931559914E-2</v>
      </c>
      <c r="P135" s="279">
        <f t="shared" si="10"/>
        <v>4.0785143759597915E-2</v>
      </c>
      <c r="Q135" s="279">
        <f t="shared" si="10"/>
        <v>7.2785496808270178E-2</v>
      </c>
      <c r="R135" s="279">
        <f t="shared" si="10"/>
        <v>-3.8099775771923639E-2</v>
      </c>
      <c r="S135" s="279">
        <f t="shared" si="10"/>
        <v>-3.7004142145829352E-2</v>
      </c>
      <c r="T135" s="279">
        <f t="shared" si="10"/>
        <v>-3.8099775771923639E-2</v>
      </c>
      <c r="U135" s="279">
        <f t="shared" si="10"/>
        <v>-3.8099775771923639E-2</v>
      </c>
      <c r="V135" s="279">
        <f t="shared" si="10"/>
        <v>-3.7004142145829352E-2</v>
      </c>
      <c r="W135" s="279">
        <f t="shared" si="10"/>
        <v>-3.7004142145829352E-2</v>
      </c>
      <c r="X135" s="279">
        <f t="shared" si="10"/>
        <v>-3.6615368923666874E-2</v>
      </c>
      <c r="Y135" s="279">
        <f t="shared" si="10"/>
        <v>-3.6615368923666874E-2</v>
      </c>
      <c r="Z135" s="269"/>
      <c r="AA135" s="269"/>
    </row>
    <row r="136" spans="4:27" x14ac:dyDescent="0.25">
      <c r="D136" s="32"/>
      <c r="E136" s="32"/>
      <c r="F136" s="191" t="s">
        <v>191</v>
      </c>
      <c r="G136" t="s">
        <v>269</v>
      </c>
      <c r="H136" s="269"/>
      <c r="I136" s="269"/>
      <c r="J136" s="280">
        <f t="shared" ref="J136:Y136" si="11">hundred * $H31 * J56 / $H44 * J$78 / hours_in_year</f>
        <v>0</v>
      </c>
      <c r="K136" s="280">
        <f t="shared" si="11"/>
        <v>0</v>
      </c>
      <c r="L136" s="280">
        <f t="shared" si="11"/>
        <v>0</v>
      </c>
      <c r="M136" s="280">
        <f t="shared" si="11"/>
        <v>0</v>
      </c>
      <c r="N136" s="280">
        <f t="shared" si="11"/>
        <v>0</v>
      </c>
      <c r="O136" s="280">
        <f t="shared" si="11"/>
        <v>0</v>
      </c>
      <c r="P136" s="280">
        <f t="shared" si="11"/>
        <v>0</v>
      </c>
      <c r="Q136" s="280">
        <f t="shared" si="11"/>
        <v>0</v>
      </c>
      <c r="R136" s="280">
        <f t="shared" si="11"/>
        <v>0</v>
      </c>
      <c r="S136" s="280">
        <f t="shared" si="11"/>
        <v>0</v>
      </c>
      <c r="T136" s="280">
        <f t="shared" si="11"/>
        <v>0</v>
      </c>
      <c r="U136" s="280">
        <f t="shared" si="11"/>
        <v>0</v>
      </c>
      <c r="V136" s="280">
        <f t="shared" si="11"/>
        <v>0</v>
      </c>
      <c r="W136" s="280">
        <f t="shared" si="11"/>
        <v>0</v>
      </c>
      <c r="X136" s="280">
        <f t="shared" si="11"/>
        <v>0</v>
      </c>
      <c r="Y136" s="280">
        <f t="shared" si="11"/>
        <v>0</v>
      </c>
      <c r="Z136" s="269"/>
      <c r="AA136" s="269"/>
    </row>
    <row r="137" spans="4:27" x14ac:dyDescent="0.25">
      <c r="D137" s="32"/>
      <c r="E137" s="32"/>
      <c r="F137" s="191" t="s">
        <v>192</v>
      </c>
      <c r="G137" t="s">
        <v>269</v>
      </c>
      <c r="H137" s="269"/>
      <c r="I137" s="269"/>
      <c r="J137" s="280">
        <f t="shared" ref="J137:Y137" si="12">hundred * $H32 * J57 / $H45 * J$78 / hours_in_year</f>
        <v>8.6546493490595108E-2</v>
      </c>
      <c r="K137" s="280">
        <f t="shared" si="12"/>
        <v>0</v>
      </c>
      <c r="L137" s="280">
        <f t="shared" si="12"/>
        <v>6.8828302968830107E-2</v>
      </c>
      <c r="M137" s="280">
        <f t="shared" si="12"/>
        <v>0</v>
      </c>
      <c r="N137" s="280">
        <f t="shared" si="12"/>
        <v>5.7427214372943777E-2</v>
      </c>
      <c r="O137" s="280">
        <f t="shared" si="12"/>
        <v>5.5830808435271891E-2</v>
      </c>
      <c r="P137" s="280">
        <f t="shared" si="12"/>
        <v>4.4256077528517457E-2</v>
      </c>
      <c r="Q137" s="280">
        <f t="shared" si="12"/>
        <v>7.8979753232828159E-2</v>
      </c>
      <c r="R137" s="280">
        <f t="shared" si="12"/>
        <v>-4.1342176953454657E-2</v>
      </c>
      <c r="S137" s="280">
        <f t="shared" si="12"/>
        <v>-4.0153301734941575E-2</v>
      </c>
      <c r="T137" s="280">
        <f t="shared" si="12"/>
        <v>-4.1342176953454657E-2</v>
      </c>
      <c r="U137" s="280">
        <f t="shared" si="12"/>
        <v>-4.1342176953454657E-2</v>
      </c>
      <c r="V137" s="280">
        <f t="shared" si="12"/>
        <v>-4.0153301734941575E-2</v>
      </c>
      <c r="W137" s="280">
        <f t="shared" si="12"/>
        <v>-4.0153301734941575E-2</v>
      </c>
      <c r="X137" s="280">
        <f t="shared" si="12"/>
        <v>-3.9731442786436935E-2</v>
      </c>
      <c r="Y137" s="280">
        <f t="shared" si="12"/>
        <v>-3.9731442786436935E-2</v>
      </c>
      <c r="Z137" s="269"/>
      <c r="AA137" s="269"/>
    </row>
    <row r="138" spans="4:27" x14ac:dyDescent="0.25">
      <c r="D138" s="32"/>
      <c r="E138" s="32"/>
      <c r="F138" s="191" t="s">
        <v>193</v>
      </c>
      <c r="G138" t="s">
        <v>269</v>
      </c>
      <c r="H138" s="269"/>
      <c r="I138" s="269"/>
      <c r="J138" s="280">
        <f t="shared" ref="J138:Y138" si="13">hundred * $H33 * J58 / $H46 * J$78 / hours_in_year</f>
        <v>4.5219735286220634E-2</v>
      </c>
      <c r="K138" s="280">
        <f t="shared" si="13"/>
        <v>0</v>
      </c>
      <c r="L138" s="280">
        <f t="shared" si="13"/>
        <v>3.5962146066478254E-2</v>
      </c>
      <c r="M138" s="280">
        <f t="shared" si="13"/>
        <v>0</v>
      </c>
      <c r="N138" s="280">
        <f t="shared" si="13"/>
        <v>3.000518365832763E-2</v>
      </c>
      <c r="O138" s="280">
        <f t="shared" si="13"/>
        <v>2.9171076451907786E-2</v>
      </c>
      <c r="P138" s="280">
        <f t="shared" si="13"/>
        <v>2.3123387556579521E-2</v>
      </c>
      <c r="Q138" s="280">
        <f t="shared" si="13"/>
        <v>4.126618410655334E-2</v>
      </c>
      <c r="R138" s="280">
        <f t="shared" si="13"/>
        <v>-2.1600901695624043E-2</v>
      </c>
      <c r="S138" s="280">
        <f t="shared" si="13"/>
        <v>-2.0979725487308323E-2</v>
      </c>
      <c r="T138" s="280">
        <f t="shared" si="13"/>
        <v>-2.1600901695624043E-2</v>
      </c>
      <c r="U138" s="280">
        <f t="shared" si="13"/>
        <v>-2.1600901695624043E-2</v>
      </c>
      <c r="V138" s="280">
        <f t="shared" si="13"/>
        <v>-2.0979725487308323E-2</v>
      </c>
      <c r="W138" s="280">
        <f t="shared" si="13"/>
        <v>-2.0979725487308323E-2</v>
      </c>
      <c r="X138" s="280">
        <f t="shared" si="13"/>
        <v>-2.0759308123067262E-2</v>
      </c>
      <c r="Y138" s="280">
        <f t="shared" si="13"/>
        <v>-2.0759308123067262E-2</v>
      </c>
      <c r="Z138" s="269"/>
      <c r="AA138" s="269"/>
    </row>
    <row r="139" spans="4:27" x14ac:dyDescent="0.25">
      <c r="D139" s="32"/>
      <c r="E139" s="32"/>
      <c r="F139" s="191" t="s">
        <v>194</v>
      </c>
      <c r="G139" t="s">
        <v>269</v>
      </c>
      <c r="H139" s="269"/>
      <c r="I139" s="269"/>
      <c r="J139" s="280">
        <f t="shared" ref="J139:Y139" si="14">hundred * $H34 * J59 / $H47 * J$78 / hours_in_year</f>
        <v>5.5862860402072577E-2</v>
      </c>
      <c r="K139" s="280">
        <f t="shared" si="14"/>
        <v>0</v>
      </c>
      <c r="L139" s="280">
        <f t="shared" si="14"/>
        <v>4.4426362356057077E-2</v>
      </c>
      <c r="M139" s="280">
        <f t="shared" si="14"/>
        <v>0</v>
      </c>
      <c r="N139" s="280">
        <f t="shared" si="14"/>
        <v>3.7067341846082631E-2</v>
      </c>
      <c r="O139" s="280">
        <f t="shared" si="14"/>
        <v>3.6036915326828033E-2</v>
      </c>
      <c r="P139" s="280">
        <f t="shared" si="14"/>
        <v>2.8565814525894458E-2</v>
      </c>
      <c r="Q139" s="280">
        <f t="shared" si="14"/>
        <v>5.0978783212228811E-2</v>
      </c>
      <c r="R139" s="280">
        <f t="shared" si="14"/>
        <v>-2.6684989382262946E-2</v>
      </c>
      <c r="S139" s="280">
        <f t="shared" si="14"/>
        <v>-2.5917610281288778E-2</v>
      </c>
      <c r="T139" s="280">
        <f t="shared" si="14"/>
        <v>-2.6684989382262946E-2</v>
      </c>
      <c r="U139" s="280">
        <f t="shared" si="14"/>
        <v>-2.6684989382262946E-2</v>
      </c>
      <c r="V139" s="280">
        <f t="shared" si="14"/>
        <v>-2.5917610281288778E-2</v>
      </c>
      <c r="W139" s="280">
        <f t="shared" si="14"/>
        <v>-2.5917610281288778E-2</v>
      </c>
      <c r="X139" s="280">
        <f t="shared" si="14"/>
        <v>-2.5645314471265685E-2</v>
      </c>
      <c r="Y139" s="280">
        <f t="shared" si="14"/>
        <v>-2.5645314471265685E-2</v>
      </c>
      <c r="Z139" s="269"/>
      <c r="AA139" s="269"/>
    </row>
    <row r="140" spans="4:27" x14ac:dyDescent="0.25">
      <c r="D140" s="32"/>
      <c r="E140" s="32"/>
      <c r="F140" s="191" t="s">
        <v>195</v>
      </c>
      <c r="G140" t="s">
        <v>269</v>
      </c>
      <c r="H140" s="269"/>
      <c r="I140" s="269"/>
      <c r="J140" s="280">
        <f t="shared" ref="J140:Y140" si="15">hundred * $H35 * J60 / $H48 * J$78 / hours_in_year</f>
        <v>8.986738704213916E-2</v>
      </c>
      <c r="K140" s="280">
        <f t="shared" si="15"/>
        <v>0</v>
      </c>
      <c r="L140" s="280">
        <f t="shared" si="15"/>
        <v>7.1469328136623253E-2</v>
      </c>
      <c r="M140" s="280">
        <f t="shared" si="15"/>
        <v>0</v>
      </c>
      <c r="N140" s="280">
        <f t="shared" si="15"/>
        <v>5.9630765992455335E-2</v>
      </c>
      <c r="O140" s="280">
        <f t="shared" si="15"/>
        <v>5.7973104029608508E-2</v>
      </c>
      <c r="P140" s="280">
        <f t="shared" si="15"/>
        <v>4.5954236709247968E-2</v>
      </c>
      <c r="Q140" s="280">
        <f t="shared" si="15"/>
        <v>8.2010301815850103E-2</v>
      </c>
      <c r="R140" s="280">
        <f t="shared" si="15"/>
        <v>-4.2928526247507107E-2</v>
      </c>
      <c r="S140" s="280">
        <f t="shared" si="15"/>
        <v>-4.1694032450037041E-2</v>
      </c>
      <c r="T140" s="280">
        <f t="shared" si="15"/>
        <v>-4.2928526247507107E-2</v>
      </c>
      <c r="U140" s="280">
        <f t="shared" si="15"/>
        <v>-4.2928526247507107E-2</v>
      </c>
      <c r="V140" s="280">
        <f t="shared" si="15"/>
        <v>-4.1694032450037041E-2</v>
      </c>
      <c r="W140" s="280">
        <f t="shared" si="15"/>
        <v>-4.1694032450037041E-2</v>
      </c>
      <c r="X140" s="280">
        <f t="shared" si="15"/>
        <v>-4.1255986263837995E-2</v>
      </c>
      <c r="Y140" s="280">
        <f t="shared" si="15"/>
        <v>-4.1255986263837995E-2</v>
      </c>
      <c r="Z140" s="269"/>
      <c r="AA140" s="269"/>
    </row>
    <row r="141" spans="4:27" x14ac:dyDescent="0.25">
      <c r="D141" s="32"/>
      <c r="E141" s="32"/>
      <c r="F141" s="191" t="s">
        <v>196</v>
      </c>
      <c r="G141" t="s">
        <v>269</v>
      </c>
      <c r="H141" s="269"/>
      <c r="I141" s="269"/>
      <c r="J141" s="280">
        <f t="shared" ref="J141:Y141" si="16">hundred * $H36 * J61 / $H49 * J$78 / hours_in_year</f>
        <v>7.5674638607431078E-3</v>
      </c>
      <c r="K141" s="280">
        <f t="shared" si="16"/>
        <v>0</v>
      </c>
      <c r="L141" s="280">
        <f t="shared" si="16"/>
        <v>6.0182183506891588E-3</v>
      </c>
      <c r="M141" s="280">
        <f t="shared" si="16"/>
        <v>0</v>
      </c>
      <c r="N141" s="280">
        <f t="shared" si="16"/>
        <v>5.0213284428169734E-3</v>
      </c>
      <c r="O141" s="280">
        <f t="shared" si="16"/>
        <v>4.8817416871534333E-3</v>
      </c>
      <c r="P141" s="280">
        <f t="shared" si="16"/>
        <v>3.8696688197043458E-3</v>
      </c>
      <c r="Q141" s="280">
        <f t="shared" si="16"/>
        <v>6.9058422151416733E-3</v>
      </c>
      <c r="R141" s="280">
        <f t="shared" si="16"/>
        <v>-3.6148827919147558E-3</v>
      </c>
      <c r="S141" s="280">
        <f t="shared" si="16"/>
        <v>-3.5109297617205459E-3</v>
      </c>
      <c r="T141" s="280">
        <f t="shared" si="16"/>
        <v>-3.6148827919147558E-3</v>
      </c>
      <c r="U141" s="280">
        <f t="shared" si="16"/>
        <v>-3.6148827919147558E-3</v>
      </c>
      <c r="V141" s="280">
        <f t="shared" si="16"/>
        <v>-3.5109297617205459E-3</v>
      </c>
      <c r="W141" s="280">
        <f t="shared" si="16"/>
        <v>-3.5109297617205459E-3</v>
      </c>
      <c r="X141" s="280">
        <f t="shared" si="16"/>
        <v>-3.4740432026193753E-3</v>
      </c>
      <c r="Y141" s="280">
        <f t="shared" si="16"/>
        <v>-3.4740432026193753E-3</v>
      </c>
      <c r="Z141" s="269"/>
      <c r="AA141" s="269"/>
    </row>
    <row r="142" spans="4:27" x14ac:dyDescent="0.25">
      <c r="D142" s="32"/>
      <c r="E142" s="32"/>
      <c r="F142" s="191" t="s">
        <v>197</v>
      </c>
      <c r="G142" t="s">
        <v>269</v>
      </c>
      <c r="H142" s="269"/>
      <c r="I142" s="269"/>
      <c r="J142" s="280">
        <f t="shared" ref="J142:Y142" si="17">hundred * $H37 * J62 / $H50 * J$78 / hours_in_year</f>
        <v>0.20703907355850779</v>
      </c>
      <c r="K142" s="280">
        <f t="shared" si="17"/>
        <v>0</v>
      </c>
      <c r="L142" s="280">
        <f t="shared" si="17"/>
        <v>0.16465309577007206</v>
      </c>
      <c r="M142" s="280">
        <f t="shared" si="17"/>
        <v>0</v>
      </c>
      <c r="N142" s="280">
        <f t="shared" si="17"/>
        <v>0.13737907546898057</v>
      </c>
      <c r="O142" s="280">
        <f t="shared" si="17"/>
        <v>0.13356010611472469</v>
      </c>
      <c r="P142" s="280">
        <f t="shared" si="17"/>
        <v>0.10587069355771707</v>
      </c>
      <c r="Q142" s="280">
        <f t="shared" si="17"/>
        <v>0.18893769440793395</v>
      </c>
      <c r="R142" s="280">
        <f t="shared" si="17"/>
        <v>-9.8899974685459524E-2</v>
      </c>
      <c r="S142" s="280">
        <f t="shared" si="17"/>
        <v>-9.6055912333651294E-2</v>
      </c>
      <c r="T142" s="280">
        <f t="shared" si="17"/>
        <v>-9.8899974685459524E-2</v>
      </c>
      <c r="U142" s="280">
        <f t="shared" si="17"/>
        <v>-9.8899974685459524E-2</v>
      </c>
      <c r="V142" s="280">
        <f t="shared" si="17"/>
        <v>-9.6055912333651294E-2</v>
      </c>
      <c r="W142" s="280">
        <f t="shared" si="17"/>
        <v>-9.6055912333651294E-2</v>
      </c>
      <c r="X142" s="280">
        <f t="shared" si="17"/>
        <v>0</v>
      </c>
      <c r="Y142" s="280">
        <f t="shared" si="17"/>
        <v>0</v>
      </c>
      <c r="Z142" s="269"/>
      <c r="AA142" s="269"/>
    </row>
    <row r="143" spans="4:27" x14ac:dyDescent="0.25">
      <c r="D143" s="32"/>
      <c r="E143" s="32"/>
      <c r="F143" s="191" t="s">
        <v>198</v>
      </c>
      <c r="G143" t="s">
        <v>269</v>
      </c>
      <c r="H143" s="269"/>
      <c r="I143" s="269"/>
      <c r="J143" s="280">
        <f t="shared" ref="J143:Y143" si="18">hundred * $H38 * J63 / $H51 * J$78 / hours_in_year</f>
        <v>9.4772579308131405E-2</v>
      </c>
      <c r="K143" s="280">
        <f t="shared" si="18"/>
        <v>0</v>
      </c>
      <c r="L143" s="280">
        <f t="shared" si="18"/>
        <v>7.5370307203334541E-2</v>
      </c>
      <c r="M143" s="280">
        <f t="shared" si="18"/>
        <v>0</v>
      </c>
      <c r="N143" s="280">
        <f t="shared" si="18"/>
        <v>6.2885566001542395E-2</v>
      </c>
      <c r="O143" s="280">
        <f t="shared" si="18"/>
        <v>6.1137424601077434E-2</v>
      </c>
      <c r="P143" s="280">
        <f t="shared" si="18"/>
        <v>0</v>
      </c>
      <c r="Q143" s="280">
        <f t="shared" si="18"/>
        <v>8.6486634236755677E-2</v>
      </c>
      <c r="R143" s="280">
        <f t="shared" si="18"/>
        <v>-4.527167521255912E-2</v>
      </c>
      <c r="S143" s="280">
        <f t="shared" si="18"/>
        <v>0</v>
      </c>
      <c r="T143" s="280">
        <f t="shared" si="18"/>
        <v>-4.527167521255912E-2</v>
      </c>
      <c r="U143" s="280">
        <f t="shared" si="18"/>
        <v>-4.527167521255912E-2</v>
      </c>
      <c r="V143" s="280">
        <f t="shared" si="18"/>
        <v>0</v>
      </c>
      <c r="W143" s="280">
        <f t="shared" si="18"/>
        <v>0</v>
      </c>
      <c r="X143" s="280">
        <f t="shared" si="18"/>
        <v>0</v>
      </c>
      <c r="Y143" s="280">
        <f t="shared" si="18"/>
        <v>0</v>
      </c>
      <c r="Z143" s="269"/>
      <c r="AA143" s="269"/>
    </row>
    <row r="144" spans="4:27" x14ac:dyDescent="0.25">
      <c r="D144" s="32"/>
      <c r="E144" s="32"/>
      <c r="F144" s="192" t="s">
        <v>199</v>
      </c>
      <c r="G144" s="37" t="s">
        <v>269</v>
      </c>
      <c r="H144" s="273"/>
      <c r="I144" s="273"/>
      <c r="J144" s="281">
        <f t="shared" ref="J144:Y144" si="19">hundred * $H39 * J64 / $H52 * J$78 / hours_in_year</f>
        <v>0.18890132976047708</v>
      </c>
      <c r="K144" s="281">
        <f t="shared" si="19"/>
        <v>0</v>
      </c>
      <c r="L144" s="281">
        <f t="shared" si="19"/>
        <v>0.15022859311315578</v>
      </c>
      <c r="M144" s="281">
        <f t="shared" si="19"/>
        <v>0</v>
      </c>
      <c r="N144" s="281">
        <f t="shared" si="19"/>
        <v>0.12534392465788238</v>
      </c>
      <c r="O144" s="281">
        <f t="shared" si="19"/>
        <v>0</v>
      </c>
      <c r="P144" s="281">
        <f t="shared" si="19"/>
        <v>0</v>
      </c>
      <c r="Q144" s="281">
        <f t="shared" si="19"/>
        <v>0.17238572942827368</v>
      </c>
      <c r="R144" s="281">
        <f t="shared" si="19"/>
        <v>0</v>
      </c>
      <c r="S144" s="281">
        <f t="shared" si="19"/>
        <v>0</v>
      </c>
      <c r="T144" s="281">
        <f t="shared" si="19"/>
        <v>0</v>
      </c>
      <c r="U144" s="281">
        <f t="shared" si="19"/>
        <v>0</v>
      </c>
      <c r="V144" s="281">
        <f t="shared" si="19"/>
        <v>0</v>
      </c>
      <c r="W144" s="281">
        <f t="shared" si="19"/>
        <v>0</v>
      </c>
      <c r="X144" s="281">
        <f t="shared" si="19"/>
        <v>0</v>
      </c>
      <c r="Y144" s="281">
        <f t="shared" si="19"/>
        <v>0</v>
      </c>
      <c r="Z144" s="269"/>
      <c r="AA144" s="269"/>
    </row>
    <row r="145" spans="3:27" x14ac:dyDescent="0.25">
      <c r="C145" s="32"/>
      <c r="D145" s="32"/>
      <c r="E145" s="32"/>
      <c r="J145" s="163"/>
      <c r="K145" s="163"/>
      <c r="L145" s="163"/>
      <c r="M145" s="163"/>
      <c r="N145" s="163"/>
      <c r="O145" s="163"/>
      <c r="P145" s="163"/>
      <c r="Q145" s="163"/>
      <c r="R145" s="163"/>
      <c r="S145" s="163"/>
      <c r="T145" s="163"/>
      <c r="U145" s="163"/>
      <c r="V145" s="163"/>
      <c r="W145" s="163"/>
      <c r="X145" s="163"/>
      <c r="Y145" s="163"/>
    </row>
    <row r="146" spans="3:27" x14ac:dyDescent="0.25">
      <c r="C146" s="31" t="str">
        <f ca="1">INDEX('Version control'!$H$34:$H$57,MATCH($A$1,'Version control'!$F$34:$F$57,0),1)&amp;"-C: Unit rate 1"</f>
        <v>Section 109-C: Unit rate 1</v>
      </c>
      <c r="D146" s="31"/>
      <c r="E146" s="31"/>
      <c r="F146" s="31"/>
      <c r="G146" s="31"/>
      <c r="H146" s="31"/>
      <c r="I146" s="31"/>
      <c r="J146" s="198"/>
      <c r="K146" s="198"/>
      <c r="L146" s="198"/>
      <c r="M146" s="198"/>
      <c r="N146" s="198"/>
      <c r="O146" s="198"/>
      <c r="P146" s="198"/>
      <c r="Q146" s="198"/>
      <c r="R146" s="198"/>
      <c r="S146" s="198"/>
      <c r="T146" s="198"/>
      <c r="U146" s="198"/>
      <c r="V146" s="198"/>
      <c r="W146" s="198"/>
      <c r="X146" s="198"/>
      <c r="Y146" s="198"/>
      <c r="Z146" s="31"/>
      <c r="AA146" s="31"/>
    </row>
    <row r="147" spans="3:27" x14ac:dyDescent="0.25">
      <c r="C147" s="32"/>
      <c r="D147" s="32"/>
      <c r="E147" s="32"/>
      <c r="J147" s="163"/>
      <c r="K147" s="163"/>
      <c r="L147" s="163"/>
      <c r="M147" s="163"/>
      <c r="N147" s="163"/>
      <c r="O147" s="163"/>
      <c r="P147" s="163"/>
      <c r="Q147" s="163"/>
      <c r="R147" s="163"/>
      <c r="S147" s="163"/>
      <c r="T147" s="163"/>
      <c r="U147" s="163"/>
      <c r="V147" s="163"/>
      <c r="W147" s="163"/>
      <c r="X147" s="163"/>
      <c r="Y147" s="163"/>
    </row>
    <row r="148" spans="3:27" x14ac:dyDescent="0.25">
      <c r="D148" s="29" t="s">
        <v>623</v>
      </c>
      <c r="E148" s="32"/>
      <c r="F148" s="32"/>
      <c r="J148" s="163"/>
      <c r="K148" s="163"/>
      <c r="L148" s="163"/>
      <c r="M148" s="163"/>
      <c r="N148" s="163"/>
      <c r="O148" s="163"/>
      <c r="P148" s="163"/>
      <c r="Q148" s="163"/>
      <c r="R148" s="163"/>
      <c r="S148" s="163"/>
      <c r="T148" s="163"/>
      <c r="U148" s="163"/>
      <c r="V148" s="163"/>
      <c r="W148" s="163"/>
      <c r="X148" s="163"/>
      <c r="Y148" s="163"/>
    </row>
    <row r="149" spans="3:27" x14ac:dyDescent="0.25">
      <c r="D149" s="29" t="s">
        <v>624</v>
      </c>
      <c r="E149" s="32"/>
      <c r="F149" s="32"/>
      <c r="J149" s="163"/>
      <c r="K149" s="163"/>
      <c r="L149" s="163"/>
      <c r="M149" s="163"/>
      <c r="N149" s="163"/>
      <c r="O149" s="163"/>
      <c r="P149" s="163"/>
      <c r="Q149" s="163"/>
      <c r="R149" s="163"/>
      <c r="S149" s="163"/>
      <c r="T149" s="163"/>
      <c r="U149" s="163"/>
      <c r="V149" s="163"/>
      <c r="W149" s="163"/>
      <c r="X149" s="163"/>
      <c r="Y149" s="163"/>
    </row>
    <row r="150" spans="3:27" x14ac:dyDescent="0.25">
      <c r="D150" s="32"/>
      <c r="E150" s="32"/>
      <c r="F150" s="32"/>
      <c r="I150" s="3" t="s">
        <v>154</v>
      </c>
      <c r="J150" s="163"/>
      <c r="K150" s="163"/>
      <c r="L150" s="163"/>
      <c r="M150" s="163"/>
      <c r="N150" s="163"/>
      <c r="O150" s="163"/>
      <c r="P150" s="163"/>
      <c r="Q150" s="163"/>
      <c r="R150" s="163"/>
      <c r="S150" s="163"/>
      <c r="T150" s="163"/>
      <c r="U150" s="163"/>
      <c r="V150" s="163"/>
      <c r="W150" s="163"/>
      <c r="X150" s="163"/>
      <c r="Y150" s="163"/>
      <c r="AA150" t="s">
        <v>625</v>
      </c>
    </row>
    <row r="151" spans="3:27" x14ac:dyDescent="0.25">
      <c r="E151" s="32" t="s">
        <v>621</v>
      </c>
      <c r="J151" s="163"/>
      <c r="K151" s="163"/>
      <c r="L151" s="163"/>
      <c r="M151" s="163"/>
      <c r="N151" s="163"/>
      <c r="O151" s="163"/>
      <c r="P151" s="163"/>
      <c r="Q151" s="163"/>
      <c r="R151" s="163"/>
      <c r="S151" s="163"/>
      <c r="T151" s="163"/>
      <c r="U151" s="163"/>
      <c r="V151" s="163"/>
      <c r="W151" s="163"/>
      <c r="X151" s="163"/>
      <c r="Y151" s="163"/>
    </row>
    <row r="152" spans="3:27" x14ac:dyDescent="0.25">
      <c r="E152" s="32"/>
      <c r="F152" s="190" t="s">
        <v>189</v>
      </c>
      <c r="G152" s="23" t="s">
        <v>269</v>
      </c>
      <c r="H152" s="267"/>
      <c r="I152" s="267"/>
      <c r="J152" s="279">
        <f t="shared" ref="J152:Y152" si="20">hundred * $H18 * J55 / $H43 * J81 * (1 - J67) / hours_in_year</f>
        <v>0</v>
      </c>
      <c r="K152" s="279">
        <f t="shared" si="20"/>
        <v>0</v>
      </c>
      <c r="L152" s="279">
        <f t="shared" si="20"/>
        <v>0</v>
      </c>
      <c r="M152" s="279">
        <f t="shared" si="20"/>
        <v>0</v>
      </c>
      <c r="N152" s="279">
        <f t="shared" si="20"/>
        <v>0</v>
      </c>
      <c r="O152" s="279">
        <f t="shared" si="20"/>
        <v>0</v>
      </c>
      <c r="P152" s="279">
        <f t="shared" si="20"/>
        <v>0</v>
      </c>
      <c r="Q152" s="279">
        <f t="shared" si="20"/>
        <v>0</v>
      </c>
      <c r="R152" s="279">
        <f t="shared" si="20"/>
        <v>0</v>
      </c>
      <c r="S152" s="279">
        <f t="shared" si="20"/>
        <v>0</v>
      </c>
      <c r="T152" s="279">
        <f t="shared" si="20"/>
        <v>0</v>
      </c>
      <c r="U152" s="279">
        <f t="shared" si="20"/>
        <v>0</v>
      </c>
      <c r="V152" s="279">
        <f t="shared" si="20"/>
        <v>0</v>
      </c>
      <c r="W152" s="279">
        <f t="shared" si="20"/>
        <v>0</v>
      </c>
      <c r="X152" s="279">
        <f t="shared" si="20"/>
        <v>0</v>
      </c>
      <c r="Y152" s="279">
        <f t="shared" si="20"/>
        <v>0</v>
      </c>
      <c r="Z152" s="269"/>
      <c r="AA152" s="269"/>
    </row>
    <row r="153" spans="3:27" x14ac:dyDescent="0.25">
      <c r="E153" s="32"/>
      <c r="F153" s="191" t="s">
        <v>191</v>
      </c>
      <c r="G153" t="s">
        <v>269</v>
      </c>
      <c r="H153" s="269"/>
      <c r="I153" s="269"/>
      <c r="J153" s="280">
        <f t="shared" ref="J153:Y153" si="21">hundred * $H19 * J56 / $H44 * J82 * (1 - J68) / hours_in_year</f>
        <v>0</v>
      </c>
      <c r="K153" s="280">
        <f t="shared" si="21"/>
        <v>0</v>
      </c>
      <c r="L153" s="280">
        <f t="shared" si="21"/>
        <v>0</v>
      </c>
      <c r="M153" s="280">
        <f t="shared" si="21"/>
        <v>0</v>
      </c>
      <c r="N153" s="280">
        <f t="shared" si="21"/>
        <v>0</v>
      </c>
      <c r="O153" s="280">
        <f t="shared" si="21"/>
        <v>0</v>
      </c>
      <c r="P153" s="280">
        <f t="shared" si="21"/>
        <v>0</v>
      </c>
      <c r="Q153" s="280">
        <f t="shared" si="21"/>
        <v>0</v>
      </c>
      <c r="R153" s="280">
        <f t="shared" si="21"/>
        <v>0</v>
      </c>
      <c r="S153" s="280">
        <f t="shared" si="21"/>
        <v>0</v>
      </c>
      <c r="T153" s="280">
        <f t="shared" si="21"/>
        <v>0</v>
      </c>
      <c r="U153" s="280">
        <f t="shared" si="21"/>
        <v>0</v>
      </c>
      <c r="V153" s="280">
        <f t="shared" si="21"/>
        <v>0</v>
      </c>
      <c r="W153" s="280">
        <f t="shared" si="21"/>
        <v>0</v>
      </c>
      <c r="X153" s="280">
        <f t="shared" si="21"/>
        <v>0</v>
      </c>
      <c r="Y153" s="280">
        <f t="shared" si="21"/>
        <v>0</v>
      </c>
      <c r="Z153" s="269"/>
      <c r="AA153" s="269"/>
    </row>
    <row r="154" spans="3:27" x14ac:dyDescent="0.25">
      <c r="E154" s="32"/>
      <c r="F154" s="191" t="s">
        <v>192</v>
      </c>
      <c r="G154" t="s">
        <v>269</v>
      </c>
      <c r="H154" s="269"/>
      <c r="I154" s="269"/>
      <c r="J154" s="280">
        <f t="shared" ref="J154:Y154" si="22">hundred * $H20 * J57 / $H45 * J83 * (1 - J69) / hours_in_year</f>
        <v>0.89398047279443305</v>
      </c>
      <c r="K154" s="280">
        <f t="shared" si="22"/>
        <v>0.89398047279443305</v>
      </c>
      <c r="L154" s="280">
        <f t="shared" si="22"/>
        <v>0.77439593033882681</v>
      </c>
      <c r="M154" s="280">
        <f t="shared" si="22"/>
        <v>0.77439593033882681</v>
      </c>
      <c r="N154" s="280">
        <f t="shared" si="22"/>
        <v>0.65830900485297139</v>
      </c>
      <c r="O154" s="280">
        <f t="shared" si="22"/>
        <v>0.58822611294784044</v>
      </c>
      <c r="P154" s="280">
        <f t="shared" si="22"/>
        <v>0.53021538714983352</v>
      </c>
      <c r="Q154" s="280">
        <f t="shared" si="22"/>
        <v>1.9997866875583974</v>
      </c>
      <c r="R154" s="280">
        <f t="shared" si="22"/>
        <v>-0.53986853552709124</v>
      </c>
      <c r="S154" s="280">
        <f t="shared" si="22"/>
        <v>-0.52434355908800045</v>
      </c>
      <c r="T154" s="280">
        <f t="shared" si="22"/>
        <v>-0.53986853552709124</v>
      </c>
      <c r="U154" s="280">
        <f t="shared" si="22"/>
        <v>-0.53986853552709124</v>
      </c>
      <c r="V154" s="280">
        <f t="shared" si="22"/>
        <v>-0.52434355908800045</v>
      </c>
      <c r="W154" s="280">
        <f t="shared" si="22"/>
        <v>-0.52434355908800045</v>
      </c>
      <c r="X154" s="280">
        <f t="shared" si="22"/>
        <v>-0.51883469648058123</v>
      </c>
      <c r="Y154" s="280">
        <f t="shared" si="22"/>
        <v>-0.51883469648058123</v>
      </c>
      <c r="Z154" s="269"/>
      <c r="AA154" s="269"/>
    </row>
    <row r="155" spans="3:27" x14ac:dyDescent="0.25">
      <c r="E155" s="32"/>
      <c r="F155" s="191" t="s">
        <v>193</v>
      </c>
      <c r="G155" t="s">
        <v>269</v>
      </c>
      <c r="H155" s="269"/>
      <c r="I155" s="269"/>
      <c r="J155" s="280">
        <f t="shared" ref="J155:Y155" si="23">hundred * $H21 * J58 / $H46 * J84 * (1 - J70) / hours_in_year</f>
        <v>0.46709645533134908</v>
      </c>
      <c r="K155" s="280">
        <f t="shared" si="23"/>
        <v>0.46709645533134908</v>
      </c>
      <c r="L155" s="280">
        <f t="shared" si="23"/>
        <v>0.40461464773790839</v>
      </c>
      <c r="M155" s="280">
        <f t="shared" si="23"/>
        <v>0.40461464773790839</v>
      </c>
      <c r="N155" s="280">
        <f t="shared" si="23"/>
        <v>0.34396031237500835</v>
      </c>
      <c r="O155" s="280">
        <f t="shared" si="23"/>
        <v>0.30734265529584281</v>
      </c>
      <c r="P155" s="280">
        <f t="shared" si="23"/>
        <v>0.27703259236264643</v>
      </c>
      <c r="Q155" s="280">
        <f t="shared" si="23"/>
        <v>1.044869884302426</v>
      </c>
      <c r="R155" s="280">
        <f t="shared" si="23"/>
        <v>-0.28207627231653903</v>
      </c>
      <c r="S155" s="280">
        <f t="shared" si="23"/>
        <v>-0.2739646169901821</v>
      </c>
      <c r="T155" s="280">
        <f t="shared" si="23"/>
        <v>-0.28207627231653903</v>
      </c>
      <c r="U155" s="280">
        <f t="shared" si="23"/>
        <v>-0.28207627231653903</v>
      </c>
      <c r="V155" s="280">
        <f t="shared" si="23"/>
        <v>-0.2739646169901821</v>
      </c>
      <c r="W155" s="280">
        <f t="shared" si="23"/>
        <v>-0.2739646169901821</v>
      </c>
      <c r="X155" s="280">
        <f t="shared" si="23"/>
        <v>-0.27108628768082965</v>
      </c>
      <c r="Y155" s="280">
        <f t="shared" si="23"/>
        <v>-0.27108628768082965</v>
      </c>
      <c r="Z155" s="269"/>
      <c r="AA155" s="269"/>
    </row>
    <row r="156" spans="3:27" x14ac:dyDescent="0.25">
      <c r="E156" s="32"/>
      <c r="F156" s="191" t="s">
        <v>194</v>
      </c>
      <c r="G156" t="s">
        <v>269</v>
      </c>
      <c r="H156" s="269"/>
      <c r="I156" s="269"/>
      <c r="J156" s="280">
        <f t="shared" ref="J156:Y156" si="24">hundred * $H22 * J59 / $H47 * J85 * (1 - J71) / hours_in_year</f>
        <v>0.484851598431702</v>
      </c>
      <c r="K156" s="280">
        <f t="shared" si="24"/>
        <v>0.484851598431702</v>
      </c>
      <c r="L156" s="280">
        <f t="shared" si="24"/>
        <v>0.41999474940446735</v>
      </c>
      <c r="M156" s="280">
        <f t="shared" si="24"/>
        <v>0.41999474940446735</v>
      </c>
      <c r="N156" s="280">
        <f t="shared" si="24"/>
        <v>0.35703483798391744</v>
      </c>
      <c r="O156" s="280">
        <f t="shared" si="24"/>
        <v>0.31902528050812179</v>
      </c>
      <c r="P156" s="280">
        <f t="shared" si="24"/>
        <v>0.26875068879894665</v>
      </c>
      <c r="Q156" s="280">
        <f t="shared" si="24"/>
        <v>1.0930378277323229</v>
      </c>
      <c r="R156" s="280">
        <f t="shared" si="24"/>
        <v>-0.29279847866820463</v>
      </c>
      <c r="S156" s="280">
        <f t="shared" si="24"/>
        <v>-0.2843784853113267</v>
      </c>
      <c r="T156" s="280">
        <f t="shared" si="24"/>
        <v>-0.29279847866820463</v>
      </c>
      <c r="U156" s="280">
        <f t="shared" si="24"/>
        <v>-0.29279847866820463</v>
      </c>
      <c r="V156" s="280">
        <f t="shared" si="24"/>
        <v>-0.2843784853113267</v>
      </c>
      <c r="W156" s="280">
        <f t="shared" si="24"/>
        <v>-0.2843784853113267</v>
      </c>
      <c r="X156" s="280">
        <f t="shared" si="24"/>
        <v>-0.26298214920070789</v>
      </c>
      <c r="Y156" s="280">
        <f t="shared" si="24"/>
        <v>-0.26298214920070789</v>
      </c>
      <c r="Z156" s="269"/>
      <c r="AA156" s="269"/>
    </row>
    <row r="157" spans="3:27" x14ac:dyDescent="0.25">
      <c r="E157" s="32"/>
      <c r="F157" s="191" t="s">
        <v>195</v>
      </c>
      <c r="G157" t="s">
        <v>269</v>
      </c>
      <c r="H157" s="269"/>
      <c r="I157" s="269"/>
      <c r="J157" s="280">
        <f t="shared" ref="J157:Y157" si="25">hundred * $H23 * J60 / $H48 * J86 * (1 - J72) / hours_in_year</f>
        <v>0.77998774034573082</v>
      </c>
      <c r="K157" s="280">
        <f t="shared" si="25"/>
        <v>0.77998774034573082</v>
      </c>
      <c r="L157" s="280">
        <f t="shared" si="25"/>
        <v>0.67565159443566858</v>
      </c>
      <c r="M157" s="280">
        <f t="shared" si="25"/>
        <v>0.67565159443566858</v>
      </c>
      <c r="N157" s="280">
        <f t="shared" si="25"/>
        <v>0.57436707933841724</v>
      </c>
      <c r="O157" s="280">
        <f t="shared" si="25"/>
        <v>0.51322055750991757</v>
      </c>
      <c r="P157" s="280">
        <f t="shared" si="25"/>
        <v>0.29994058594511036</v>
      </c>
      <c r="Q157" s="280">
        <f t="shared" si="25"/>
        <v>1.758385675375751</v>
      </c>
      <c r="R157" s="280">
        <f t="shared" si="25"/>
        <v>-0.47102912415220366</v>
      </c>
      <c r="S157" s="280">
        <f t="shared" si="25"/>
        <v>-0.45748375972853172</v>
      </c>
      <c r="T157" s="280">
        <f t="shared" si="25"/>
        <v>-0.47102912415220366</v>
      </c>
      <c r="U157" s="280">
        <f t="shared" si="25"/>
        <v>-0.47102912415220366</v>
      </c>
      <c r="V157" s="280">
        <f t="shared" si="25"/>
        <v>-0.45748375972853172</v>
      </c>
      <c r="W157" s="280">
        <f t="shared" si="25"/>
        <v>-0.45748375972853172</v>
      </c>
      <c r="X157" s="280">
        <f t="shared" si="25"/>
        <v>-0.29350257771199401</v>
      </c>
      <c r="Y157" s="280">
        <f t="shared" si="25"/>
        <v>-0.29350257771199401</v>
      </c>
      <c r="Z157" s="269"/>
      <c r="AA157" s="269"/>
    </row>
    <row r="158" spans="3:27" x14ac:dyDescent="0.25">
      <c r="E158" s="32"/>
      <c r="F158" s="191" t="s">
        <v>196</v>
      </c>
      <c r="G158" t="s">
        <v>269</v>
      </c>
      <c r="H158" s="269"/>
      <c r="I158" s="269"/>
      <c r="J158" s="280">
        <f t="shared" ref="J158:Y158" si="26">hundred * $H24 * J61 / $H49 * J87 * (1 - J73) / hours_in_year</f>
        <v>7.8167984019099218E-2</v>
      </c>
      <c r="K158" s="280">
        <f t="shared" si="26"/>
        <v>7.8167984019099218E-2</v>
      </c>
      <c r="L158" s="280">
        <f t="shared" si="26"/>
        <v>6.7711734818955246E-2</v>
      </c>
      <c r="M158" s="280">
        <f t="shared" si="26"/>
        <v>6.7711734818955246E-2</v>
      </c>
      <c r="N158" s="280">
        <f t="shared" si="26"/>
        <v>5.7561310718706134E-2</v>
      </c>
      <c r="O158" s="280">
        <f t="shared" si="26"/>
        <v>5.1433393452987239E-2</v>
      </c>
      <c r="P158" s="280">
        <f t="shared" si="26"/>
        <v>3.0059127491470918E-2</v>
      </c>
      <c r="Q158" s="280">
        <f t="shared" si="26"/>
        <v>0.17485761556518595</v>
      </c>
      <c r="R158" s="280">
        <f t="shared" si="26"/>
        <v>-4.7205097137731293E-2</v>
      </c>
      <c r="S158" s="280">
        <f t="shared" si="26"/>
        <v>-4.584762217365923E-2</v>
      </c>
      <c r="T158" s="280">
        <f t="shared" si="26"/>
        <v>-4.7205097137731293E-2</v>
      </c>
      <c r="U158" s="280">
        <f t="shared" si="26"/>
        <v>-4.7205097137731293E-2</v>
      </c>
      <c r="V158" s="280">
        <f t="shared" si="26"/>
        <v>-4.584762217365923E-2</v>
      </c>
      <c r="W158" s="280">
        <f t="shared" si="26"/>
        <v>-4.584762217365923E-2</v>
      </c>
      <c r="X158" s="280">
        <f t="shared" si="26"/>
        <v>-2.941393001124129E-2</v>
      </c>
      <c r="Y158" s="280">
        <f t="shared" si="26"/>
        <v>-2.941393001124129E-2</v>
      </c>
      <c r="Z158" s="269"/>
      <c r="AA158" s="269"/>
    </row>
    <row r="159" spans="3:27" x14ac:dyDescent="0.25">
      <c r="E159" s="32"/>
      <c r="F159" s="191" t="s">
        <v>197</v>
      </c>
      <c r="G159" t="s">
        <v>269</v>
      </c>
      <c r="H159" s="269"/>
      <c r="I159" s="269"/>
      <c r="J159" s="280">
        <f t="shared" ref="J159:Y159" si="27">hundred * $H25 * J62 / $H50 * J88 * (1 - J74) / hours_in_year</f>
        <v>0.93597530050599564</v>
      </c>
      <c r="K159" s="280">
        <f t="shared" si="27"/>
        <v>0.93597530050599564</v>
      </c>
      <c r="L159" s="280">
        <f t="shared" si="27"/>
        <v>0.8107732614604567</v>
      </c>
      <c r="M159" s="280">
        <f t="shared" si="27"/>
        <v>0.8107732614604567</v>
      </c>
      <c r="N159" s="280">
        <f t="shared" si="27"/>
        <v>0.68923314031350935</v>
      </c>
      <c r="O159" s="280">
        <f t="shared" si="27"/>
        <v>0.61585809711352468</v>
      </c>
      <c r="P159" s="280">
        <f t="shared" si="27"/>
        <v>0.38597903646714832</v>
      </c>
      <c r="Q159" s="280">
        <f t="shared" si="27"/>
        <v>2.1100402939484031</v>
      </c>
      <c r="R159" s="280">
        <f t="shared" si="27"/>
        <v>-0.56522891735454417</v>
      </c>
      <c r="S159" s="280">
        <f t="shared" si="27"/>
        <v>-0.54897465349740981</v>
      </c>
      <c r="T159" s="280">
        <f t="shared" si="27"/>
        <v>-0.56522891735454417</v>
      </c>
      <c r="U159" s="280">
        <f t="shared" si="27"/>
        <v>-0.56522891735454417</v>
      </c>
      <c r="V159" s="280">
        <f t="shared" si="27"/>
        <v>-0.54897465349740981</v>
      </c>
      <c r="W159" s="280">
        <f t="shared" si="27"/>
        <v>-0.54897465349740981</v>
      </c>
      <c r="X159" s="280">
        <f t="shared" si="27"/>
        <v>0</v>
      </c>
      <c r="Y159" s="280">
        <f t="shared" si="27"/>
        <v>0</v>
      </c>
      <c r="Z159" s="269"/>
      <c r="AA159" s="269"/>
    </row>
    <row r="160" spans="3:27" x14ac:dyDescent="0.25">
      <c r="E160" s="32"/>
      <c r="F160" s="191" t="s">
        <v>198</v>
      </c>
      <c r="G160" t="s">
        <v>269</v>
      </c>
      <c r="H160" s="269"/>
      <c r="I160" s="269"/>
      <c r="J160" s="280">
        <f t="shared" ref="J160:Y160" si="28">hundred * $H26 * J63 / $H51 * J89 * (1 - J75) / hours_in_year</f>
        <v>0.23942802937698057</v>
      </c>
      <c r="K160" s="280">
        <f t="shared" si="28"/>
        <v>0.23942802937698057</v>
      </c>
      <c r="L160" s="280">
        <f t="shared" si="28"/>
        <v>0.20740060571906194</v>
      </c>
      <c r="M160" s="280">
        <f t="shared" si="28"/>
        <v>0.20740060571906194</v>
      </c>
      <c r="N160" s="280">
        <f t="shared" si="28"/>
        <v>0.17630992236371987</v>
      </c>
      <c r="O160" s="280">
        <f t="shared" si="28"/>
        <v>0.15754015142069852</v>
      </c>
      <c r="P160" s="280">
        <f t="shared" si="28"/>
        <v>0</v>
      </c>
      <c r="Q160" s="280">
        <f t="shared" si="28"/>
        <v>0.53976081336011139</v>
      </c>
      <c r="R160" s="280">
        <f t="shared" si="28"/>
        <v>-0.14458890716017969</v>
      </c>
      <c r="S160" s="280">
        <f t="shared" si="28"/>
        <v>0</v>
      </c>
      <c r="T160" s="280">
        <f t="shared" si="28"/>
        <v>-0.14458890716017969</v>
      </c>
      <c r="U160" s="280">
        <f t="shared" si="28"/>
        <v>-0.14458890716017969</v>
      </c>
      <c r="V160" s="280">
        <f t="shared" si="28"/>
        <v>0</v>
      </c>
      <c r="W160" s="280">
        <f t="shared" si="28"/>
        <v>0</v>
      </c>
      <c r="X160" s="280">
        <f t="shared" si="28"/>
        <v>0</v>
      </c>
      <c r="Y160" s="280">
        <f t="shared" si="28"/>
        <v>0</v>
      </c>
      <c r="Z160" s="269"/>
      <c r="AA160" s="269"/>
    </row>
    <row r="161" spans="3:27" x14ac:dyDescent="0.25">
      <c r="E161" s="32"/>
      <c r="F161" s="192" t="s">
        <v>199</v>
      </c>
      <c r="G161" s="37" t="s">
        <v>269</v>
      </c>
      <c r="H161" s="273"/>
      <c r="I161" s="273"/>
      <c r="J161" s="281">
        <f t="shared" ref="J161:Y161" si="29">hundred * $H27 * J64 / $H52 * J90 * (1 - J76) / hours_in_year</f>
        <v>0.10048025602880908</v>
      </c>
      <c r="K161" s="281">
        <f t="shared" si="29"/>
        <v>0.10048025602880908</v>
      </c>
      <c r="L161" s="281">
        <f t="shared" si="29"/>
        <v>8.7039374702321412E-2</v>
      </c>
      <c r="M161" s="281">
        <f t="shared" si="29"/>
        <v>8.7039374702321412E-2</v>
      </c>
      <c r="N161" s="281">
        <f t="shared" si="29"/>
        <v>7.3991613202615589E-2</v>
      </c>
      <c r="O161" s="281">
        <f t="shared" si="29"/>
        <v>0</v>
      </c>
      <c r="P161" s="281">
        <f t="shared" si="29"/>
        <v>0</v>
      </c>
      <c r="Q161" s="281">
        <f t="shared" si="29"/>
        <v>0.22652028194806087</v>
      </c>
      <c r="R161" s="281">
        <f t="shared" si="29"/>
        <v>0</v>
      </c>
      <c r="S161" s="281">
        <f t="shared" si="29"/>
        <v>0</v>
      </c>
      <c r="T161" s="281">
        <f t="shared" si="29"/>
        <v>0</v>
      </c>
      <c r="U161" s="281">
        <f t="shared" si="29"/>
        <v>0</v>
      </c>
      <c r="V161" s="281">
        <f t="shared" si="29"/>
        <v>0</v>
      </c>
      <c r="W161" s="281">
        <f t="shared" si="29"/>
        <v>0</v>
      </c>
      <c r="X161" s="281">
        <f t="shared" si="29"/>
        <v>0</v>
      </c>
      <c r="Y161" s="281">
        <f t="shared" si="29"/>
        <v>0</v>
      </c>
      <c r="Z161" s="269"/>
      <c r="AA161" s="269"/>
    </row>
    <row r="162" spans="3:27" x14ac:dyDescent="0.25">
      <c r="E162" s="32"/>
      <c r="F162" s="191"/>
      <c r="J162" s="163"/>
      <c r="K162" s="163"/>
      <c r="L162" s="163"/>
      <c r="M162" s="163"/>
      <c r="N162" s="163"/>
      <c r="O162" s="163"/>
      <c r="P162" s="163"/>
      <c r="Q162" s="163"/>
      <c r="R162" s="163"/>
      <c r="S162" s="163"/>
      <c r="T162" s="163"/>
      <c r="U162" s="163"/>
      <c r="V162" s="163"/>
      <c r="W162" s="163"/>
      <c r="X162" s="163"/>
      <c r="Y162" s="163"/>
    </row>
    <row r="163" spans="3:27" x14ac:dyDescent="0.25">
      <c r="E163" s="32" t="s">
        <v>622</v>
      </c>
      <c r="J163" s="163"/>
      <c r="K163" s="163"/>
      <c r="L163" s="163"/>
      <c r="M163" s="163"/>
      <c r="N163" s="163"/>
      <c r="O163" s="163"/>
      <c r="P163" s="163"/>
      <c r="Q163" s="163"/>
      <c r="R163" s="163"/>
      <c r="S163" s="163"/>
      <c r="T163" s="163"/>
      <c r="U163" s="163"/>
      <c r="V163" s="163"/>
      <c r="W163" s="163"/>
      <c r="X163" s="163"/>
      <c r="Y163" s="163"/>
    </row>
    <row r="164" spans="3:27" x14ac:dyDescent="0.25">
      <c r="D164" s="32"/>
      <c r="E164" s="32"/>
      <c r="F164" s="190" t="s">
        <v>189</v>
      </c>
      <c r="G164" s="23" t="s">
        <v>269</v>
      </c>
      <c r="H164" s="267"/>
      <c r="I164" s="267"/>
      <c r="J164" s="279">
        <f t="shared" ref="J164:Y164" si="30">hundred * $H30 * J55 / $H43 * J81 / hours_in_year</f>
        <v>0.60970379669854136</v>
      </c>
      <c r="K164" s="279">
        <f t="shared" si="30"/>
        <v>0.60970379669854136</v>
      </c>
      <c r="L164" s="279">
        <f t="shared" si="30"/>
        <v>0.52814591956311241</v>
      </c>
      <c r="M164" s="279">
        <f t="shared" si="30"/>
        <v>0.52814591956311241</v>
      </c>
      <c r="N164" s="279">
        <f t="shared" si="30"/>
        <v>0.44897345285973522</v>
      </c>
      <c r="O164" s="279">
        <f t="shared" si="30"/>
        <v>0.40117620607580301</v>
      </c>
      <c r="P164" s="279">
        <f t="shared" si="30"/>
        <v>0.36161229965430791</v>
      </c>
      <c r="Q164" s="279">
        <f t="shared" si="30"/>
        <v>1.2003690914284559</v>
      </c>
      <c r="R164" s="279">
        <f t="shared" si="30"/>
        <v>-0.36819584526276083</v>
      </c>
      <c r="S164" s="279">
        <f t="shared" si="30"/>
        <v>-0.35760765305205056</v>
      </c>
      <c r="T164" s="279">
        <f t="shared" si="30"/>
        <v>-0.36819584526276083</v>
      </c>
      <c r="U164" s="279">
        <f t="shared" si="30"/>
        <v>-0.36819584526276083</v>
      </c>
      <c r="V164" s="279">
        <f t="shared" si="30"/>
        <v>-0.35760765305205056</v>
      </c>
      <c r="W164" s="279">
        <f t="shared" si="30"/>
        <v>-0.35760765305205056</v>
      </c>
      <c r="X164" s="279">
        <f t="shared" si="30"/>
        <v>-0.35385055259018572</v>
      </c>
      <c r="Y164" s="279">
        <f t="shared" si="30"/>
        <v>-0.35385055259018572</v>
      </c>
      <c r="Z164" s="269"/>
      <c r="AA164" s="269"/>
    </row>
    <row r="165" spans="3:27" x14ac:dyDescent="0.25">
      <c r="D165" s="32"/>
      <c r="E165" s="32"/>
      <c r="F165" s="191" t="s">
        <v>191</v>
      </c>
      <c r="G165" t="s">
        <v>269</v>
      </c>
      <c r="H165" s="269"/>
      <c r="I165" s="269"/>
      <c r="J165" s="280">
        <f t="shared" ref="J165:Y165" si="31">hundred * $H31 * J56 / $H44 * J82 / hours_in_year</f>
        <v>0</v>
      </c>
      <c r="K165" s="280">
        <f t="shared" si="31"/>
        <v>0</v>
      </c>
      <c r="L165" s="280">
        <f t="shared" si="31"/>
        <v>0</v>
      </c>
      <c r="M165" s="280">
        <f t="shared" si="31"/>
        <v>0</v>
      </c>
      <c r="N165" s="280">
        <f t="shared" si="31"/>
        <v>0</v>
      </c>
      <c r="O165" s="280">
        <f t="shared" si="31"/>
        <v>0</v>
      </c>
      <c r="P165" s="280">
        <f t="shared" si="31"/>
        <v>0</v>
      </c>
      <c r="Q165" s="280">
        <f t="shared" si="31"/>
        <v>0</v>
      </c>
      <c r="R165" s="280">
        <f t="shared" si="31"/>
        <v>0</v>
      </c>
      <c r="S165" s="280">
        <f t="shared" si="31"/>
        <v>0</v>
      </c>
      <c r="T165" s="280">
        <f t="shared" si="31"/>
        <v>0</v>
      </c>
      <c r="U165" s="280">
        <f t="shared" si="31"/>
        <v>0</v>
      </c>
      <c r="V165" s="280">
        <f t="shared" si="31"/>
        <v>0</v>
      </c>
      <c r="W165" s="280">
        <f t="shared" si="31"/>
        <v>0</v>
      </c>
      <c r="X165" s="280">
        <f t="shared" si="31"/>
        <v>0</v>
      </c>
      <c r="Y165" s="280">
        <f t="shared" si="31"/>
        <v>0</v>
      </c>
      <c r="Z165" s="269"/>
      <c r="AA165" s="269"/>
    </row>
    <row r="166" spans="3:27" x14ac:dyDescent="0.25">
      <c r="D166" s="32"/>
      <c r="E166" s="32"/>
      <c r="F166" s="191" t="s">
        <v>192</v>
      </c>
      <c r="G166" t="s">
        <v>269</v>
      </c>
      <c r="H166" s="269"/>
      <c r="I166" s="269"/>
      <c r="J166" s="280">
        <f t="shared" ref="J166:Y166" si="32">hundred * $H32 * J57 / $H45 * J83 / hours_in_year</f>
        <v>0.56758931202458818</v>
      </c>
      <c r="K166" s="280">
        <f t="shared" si="32"/>
        <v>0.56758931202458818</v>
      </c>
      <c r="L166" s="280">
        <f t="shared" si="32"/>
        <v>0.49166493755924101</v>
      </c>
      <c r="M166" s="280">
        <f t="shared" si="32"/>
        <v>0.49166493755924101</v>
      </c>
      <c r="N166" s="280">
        <f t="shared" si="32"/>
        <v>0.41796120445016527</v>
      </c>
      <c r="O166" s="280">
        <f t="shared" si="32"/>
        <v>0.37346548937398838</v>
      </c>
      <c r="P166" s="280">
        <f t="shared" si="32"/>
        <v>0.33663440754642249</v>
      </c>
      <c r="Q166" s="280">
        <f t="shared" si="32"/>
        <v>1.2696670506003354</v>
      </c>
      <c r="R166" s="280">
        <f t="shared" si="32"/>
        <v>-0.34276320343521022</v>
      </c>
      <c r="S166" s="280">
        <f t="shared" si="32"/>
        <v>-0.332906376620283</v>
      </c>
      <c r="T166" s="280">
        <f t="shared" si="32"/>
        <v>-0.34276320343521022</v>
      </c>
      <c r="U166" s="280">
        <f t="shared" si="32"/>
        <v>-0.34276320343521022</v>
      </c>
      <c r="V166" s="280">
        <f t="shared" si="32"/>
        <v>-0.332906376620283</v>
      </c>
      <c r="W166" s="280">
        <f t="shared" si="32"/>
        <v>-0.332906376620283</v>
      </c>
      <c r="X166" s="280">
        <f t="shared" si="32"/>
        <v>-0.3294087929117604</v>
      </c>
      <c r="Y166" s="280">
        <f t="shared" si="32"/>
        <v>-0.3294087929117604</v>
      </c>
      <c r="Z166" s="269"/>
      <c r="AA166" s="269"/>
    </row>
    <row r="167" spans="3:27" x14ac:dyDescent="0.25">
      <c r="D167" s="32"/>
      <c r="E167" s="32"/>
      <c r="F167" s="191" t="s">
        <v>193</v>
      </c>
      <c r="G167" t="s">
        <v>269</v>
      </c>
      <c r="H167" s="269"/>
      <c r="I167" s="269"/>
      <c r="J167" s="280">
        <f t="shared" ref="J167:Y167" si="33">hundred * $H33 * J58 / $H46 * J84 / hours_in_year</f>
        <v>0.29656011937478538</v>
      </c>
      <c r="K167" s="280">
        <f t="shared" si="33"/>
        <v>0.29656011937478538</v>
      </c>
      <c r="L167" s="280">
        <f t="shared" si="33"/>
        <v>0.25689034216459739</v>
      </c>
      <c r="M167" s="280">
        <f t="shared" si="33"/>
        <v>0.25689034216459739</v>
      </c>
      <c r="N167" s="280">
        <f t="shared" si="33"/>
        <v>0.21838082934232642</v>
      </c>
      <c r="O167" s="280">
        <f t="shared" si="33"/>
        <v>0.19513223340314534</v>
      </c>
      <c r="P167" s="280">
        <f t="shared" si="33"/>
        <v>0.17588833681791108</v>
      </c>
      <c r="Q167" s="280">
        <f t="shared" si="33"/>
        <v>0.66338918671526259</v>
      </c>
      <c r="R167" s="280">
        <f t="shared" si="33"/>
        <v>-0.1790905754822005</v>
      </c>
      <c r="S167" s="280">
        <f t="shared" si="33"/>
        <v>-0.17394047544514279</v>
      </c>
      <c r="T167" s="280">
        <f t="shared" si="33"/>
        <v>-0.1790905754822005</v>
      </c>
      <c r="U167" s="280">
        <f t="shared" si="33"/>
        <v>-0.1790905754822005</v>
      </c>
      <c r="V167" s="280">
        <f t="shared" si="33"/>
        <v>-0.17394047544514279</v>
      </c>
      <c r="W167" s="280">
        <f t="shared" si="33"/>
        <v>-0.17394047544514279</v>
      </c>
      <c r="X167" s="280">
        <f t="shared" si="33"/>
        <v>-0.17211302059328359</v>
      </c>
      <c r="Y167" s="280">
        <f t="shared" si="33"/>
        <v>-0.17211302059328359</v>
      </c>
      <c r="Z167" s="269"/>
      <c r="AA167" s="269"/>
    </row>
    <row r="168" spans="3:27" x14ac:dyDescent="0.25">
      <c r="D168" s="32"/>
      <c r="E168" s="32"/>
      <c r="F168" s="191" t="s">
        <v>194</v>
      </c>
      <c r="G168" t="s">
        <v>269</v>
      </c>
      <c r="H168" s="269"/>
      <c r="I168" s="269"/>
      <c r="J168" s="280">
        <f t="shared" ref="J168:Y168" si="34">hundred * $H34 * J59 / $H47 * J85 / hours_in_year</f>
        <v>0.30783288177162677</v>
      </c>
      <c r="K168" s="280">
        <f t="shared" si="34"/>
        <v>0.30783288177162677</v>
      </c>
      <c r="L168" s="280">
        <f t="shared" si="34"/>
        <v>0.26665518780658692</v>
      </c>
      <c r="M168" s="280">
        <f t="shared" si="34"/>
        <v>0.26665518780658692</v>
      </c>
      <c r="N168" s="280">
        <f t="shared" si="34"/>
        <v>0.22668186188301709</v>
      </c>
      <c r="O168" s="280">
        <f t="shared" si="34"/>
        <v>0.20254954665401689</v>
      </c>
      <c r="P168" s="280">
        <f t="shared" si="34"/>
        <v>0.18257415631887425</v>
      </c>
      <c r="Q168" s="280">
        <f t="shared" si="34"/>
        <v>0.69397107379782452</v>
      </c>
      <c r="R168" s="280">
        <f t="shared" si="34"/>
        <v>-0.18589811760614017</v>
      </c>
      <c r="S168" s="280">
        <f t="shared" si="34"/>
        <v>-0.18055225337071315</v>
      </c>
      <c r="T168" s="280">
        <f t="shared" si="34"/>
        <v>-0.18589811760614017</v>
      </c>
      <c r="U168" s="280">
        <f t="shared" si="34"/>
        <v>-0.18589811760614017</v>
      </c>
      <c r="V168" s="280">
        <f t="shared" si="34"/>
        <v>-0.18055225337071315</v>
      </c>
      <c r="W168" s="280">
        <f t="shared" si="34"/>
        <v>-0.18055225337071315</v>
      </c>
      <c r="X168" s="280">
        <f t="shared" si="34"/>
        <v>-0.17865533380330353</v>
      </c>
      <c r="Y168" s="280">
        <f t="shared" si="34"/>
        <v>-0.17865533380330353</v>
      </c>
      <c r="Z168" s="269"/>
      <c r="AA168" s="269"/>
    </row>
    <row r="169" spans="3:27" x14ac:dyDescent="0.25">
      <c r="D169" s="32"/>
      <c r="E169" s="32"/>
      <c r="F169" s="191" t="s">
        <v>195</v>
      </c>
      <c r="G169" t="s">
        <v>269</v>
      </c>
      <c r="H169" s="269"/>
      <c r="I169" s="269"/>
      <c r="J169" s="280">
        <f t="shared" ref="J169:Y169" si="35">hundred * $H35 * J60 / $H48 * J86 / hours_in_year</f>
        <v>0.49521518467467296</v>
      </c>
      <c r="K169" s="280">
        <f t="shared" si="35"/>
        <v>0.49521518467467296</v>
      </c>
      <c r="L169" s="280">
        <f t="shared" si="35"/>
        <v>0.42897203610647516</v>
      </c>
      <c r="M169" s="280">
        <f t="shared" si="35"/>
        <v>0.42897203610647516</v>
      </c>
      <c r="N169" s="280">
        <f t="shared" si="35"/>
        <v>0.36466637172983057</v>
      </c>
      <c r="O169" s="280">
        <f t="shared" si="35"/>
        <v>0.32584436910951697</v>
      </c>
      <c r="P169" s="280">
        <f t="shared" si="35"/>
        <v>0.29370967135781595</v>
      </c>
      <c r="Q169" s="280">
        <f t="shared" si="35"/>
        <v>1.116401248274143</v>
      </c>
      <c r="R169" s="280">
        <f t="shared" si="35"/>
        <v>-0.29905697569142531</v>
      </c>
      <c r="S169" s="280">
        <f t="shared" si="35"/>
        <v>-0.29045700700271077</v>
      </c>
      <c r="T169" s="280">
        <f t="shared" si="35"/>
        <v>-0.29905697569142531</v>
      </c>
      <c r="U169" s="280">
        <f t="shared" si="35"/>
        <v>-0.29905697569142531</v>
      </c>
      <c r="V169" s="280">
        <f t="shared" si="35"/>
        <v>-0.29045700700271077</v>
      </c>
      <c r="W169" s="280">
        <f t="shared" si="35"/>
        <v>-0.29045700700271077</v>
      </c>
      <c r="X169" s="280">
        <f t="shared" si="35"/>
        <v>-0.28740540520994118</v>
      </c>
      <c r="Y169" s="280">
        <f t="shared" si="35"/>
        <v>-0.28740540520994118</v>
      </c>
      <c r="Z169" s="269"/>
      <c r="AA169" s="269"/>
    </row>
    <row r="170" spans="3:27" x14ac:dyDescent="0.25">
      <c r="D170" s="32"/>
      <c r="E170" s="32"/>
      <c r="F170" s="191" t="s">
        <v>196</v>
      </c>
      <c r="G170" t="s">
        <v>269</v>
      </c>
      <c r="H170" s="269"/>
      <c r="I170" s="269"/>
      <c r="J170" s="280">
        <f t="shared" ref="J170:Y170" si="36">hundred * $H36 * J61 / $H49 * J87 / hours_in_year</f>
        <v>4.962895009671154E-2</v>
      </c>
      <c r="K170" s="280">
        <f t="shared" si="36"/>
        <v>4.962895009671154E-2</v>
      </c>
      <c r="L170" s="280">
        <f t="shared" si="36"/>
        <v>4.2990264498450101E-2</v>
      </c>
      <c r="M170" s="280">
        <f t="shared" si="36"/>
        <v>4.2990264498450101E-2</v>
      </c>
      <c r="N170" s="280">
        <f t="shared" si="36"/>
        <v>3.6545747635783714E-2</v>
      </c>
      <c r="O170" s="280">
        <f t="shared" si="36"/>
        <v>3.2655125356170718E-2</v>
      </c>
      <c r="P170" s="280">
        <f t="shared" si="36"/>
        <v>2.9434684302571415E-2</v>
      </c>
      <c r="Q170" s="280">
        <f t="shared" si="36"/>
        <v>0.1110173172023247</v>
      </c>
      <c r="R170" s="280">
        <f t="shared" si="36"/>
        <v>-2.9970574776323679E-2</v>
      </c>
      <c r="S170" s="280">
        <f t="shared" si="36"/>
        <v>-2.9108712236373731E-2</v>
      </c>
      <c r="T170" s="280">
        <f t="shared" si="36"/>
        <v>-2.9970574776323679E-2</v>
      </c>
      <c r="U170" s="280">
        <f t="shared" si="36"/>
        <v>-2.9970574776323679E-2</v>
      </c>
      <c r="V170" s="280">
        <f t="shared" si="36"/>
        <v>-2.9108712236373731E-2</v>
      </c>
      <c r="W170" s="280">
        <f t="shared" si="36"/>
        <v>-2.9108712236373731E-2</v>
      </c>
      <c r="X170" s="280">
        <f t="shared" si="36"/>
        <v>-2.8802890044778595E-2</v>
      </c>
      <c r="Y170" s="280">
        <f t="shared" si="36"/>
        <v>-2.8802890044778595E-2</v>
      </c>
      <c r="Z170" s="269"/>
      <c r="AA170" s="269"/>
    </row>
    <row r="171" spans="3:27" x14ac:dyDescent="0.25">
      <c r="D171" s="32"/>
      <c r="E171" s="32"/>
      <c r="F171" s="191" t="s">
        <v>197</v>
      </c>
      <c r="G171" t="s">
        <v>269</v>
      </c>
      <c r="H171" s="269"/>
      <c r="I171" s="269"/>
      <c r="J171" s="280">
        <f t="shared" ref="J171:Y171" si="37">hundred * $H37 * J62 / $H50 * J88 / hours_in_year</f>
        <v>1.1408909997469208</v>
      </c>
      <c r="K171" s="280">
        <f t="shared" si="37"/>
        <v>1.1408909997469208</v>
      </c>
      <c r="L171" s="280">
        <f t="shared" si="37"/>
        <v>0.98827812692880612</v>
      </c>
      <c r="M171" s="280">
        <f t="shared" si="37"/>
        <v>0.98827812692880612</v>
      </c>
      <c r="N171" s="280">
        <f t="shared" si="37"/>
        <v>0.84012888597155055</v>
      </c>
      <c r="O171" s="280">
        <f t="shared" si="37"/>
        <v>0.75068963864563476</v>
      </c>
      <c r="P171" s="280">
        <f t="shared" si="37"/>
        <v>0.67665679680418722</v>
      </c>
      <c r="Q171" s="280">
        <f t="shared" si="37"/>
        <v>2.5719973370746652</v>
      </c>
      <c r="R171" s="280">
        <f t="shared" si="37"/>
        <v>-0.6889760704773692</v>
      </c>
      <c r="S171" s="280">
        <f t="shared" si="37"/>
        <v>-0.66916321501837217</v>
      </c>
      <c r="T171" s="280">
        <f t="shared" si="37"/>
        <v>-0.6889760704773692</v>
      </c>
      <c r="U171" s="280">
        <f t="shared" si="37"/>
        <v>-0.6889760704773692</v>
      </c>
      <c r="V171" s="280">
        <f t="shared" si="37"/>
        <v>-0.66916321501837217</v>
      </c>
      <c r="W171" s="280">
        <f t="shared" si="37"/>
        <v>-0.66916321501837217</v>
      </c>
      <c r="X171" s="280">
        <f t="shared" si="37"/>
        <v>0</v>
      </c>
      <c r="Y171" s="280">
        <f t="shared" si="37"/>
        <v>0</v>
      </c>
      <c r="Z171" s="269"/>
      <c r="AA171" s="269"/>
    </row>
    <row r="172" spans="3:27" x14ac:dyDescent="0.25">
      <c r="D172" s="32"/>
      <c r="E172" s="32"/>
      <c r="F172" s="191" t="s">
        <v>198</v>
      </c>
      <c r="G172" t="s">
        <v>269</v>
      </c>
      <c r="H172" s="269"/>
      <c r="I172" s="269"/>
      <c r="J172" s="280">
        <f t="shared" ref="J172:Y172" si="38">hundred * $H38 * J63 / $H51 * J89 / hours_in_year</f>
        <v>0.52224529842137724</v>
      </c>
      <c r="K172" s="280">
        <f t="shared" si="38"/>
        <v>0.52224529842137724</v>
      </c>
      <c r="L172" s="280">
        <f t="shared" si="38"/>
        <v>0.45238642905916848</v>
      </c>
      <c r="M172" s="280">
        <f t="shared" si="38"/>
        <v>0.45238642905916848</v>
      </c>
      <c r="N172" s="280">
        <f t="shared" si="38"/>
        <v>0.38457079674040601</v>
      </c>
      <c r="O172" s="280">
        <f t="shared" si="38"/>
        <v>0.34362978973739911</v>
      </c>
      <c r="P172" s="280">
        <f t="shared" si="38"/>
        <v>0</v>
      </c>
      <c r="Q172" s="280">
        <f t="shared" si="38"/>
        <v>1.1773372891341116</v>
      </c>
      <c r="R172" s="280">
        <f t="shared" si="38"/>
        <v>-0.31538027174502881</v>
      </c>
      <c r="S172" s="280">
        <f t="shared" si="38"/>
        <v>0</v>
      </c>
      <c r="T172" s="280">
        <f t="shared" si="38"/>
        <v>-0.31538027174502881</v>
      </c>
      <c r="U172" s="280">
        <f t="shared" si="38"/>
        <v>-0.31538027174502881</v>
      </c>
      <c r="V172" s="280">
        <f t="shared" si="38"/>
        <v>0</v>
      </c>
      <c r="W172" s="280">
        <f t="shared" si="38"/>
        <v>0</v>
      </c>
      <c r="X172" s="280">
        <f t="shared" si="38"/>
        <v>0</v>
      </c>
      <c r="Y172" s="280">
        <f t="shared" si="38"/>
        <v>0</v>
      </c>
      <c r="Z172" s="269"/>
      <c r="AA172" s="269"/>
    </row>
    <row r="173" spans="3:27" x14ac:dyDescent="0.25">
      <c r="D173" s="32"/>
      <c r="E173" s="32"/>
      <c r="F173" s="192" t="s">
        <v>199</v>
      </c>
      <c r="G173" s="37" t="s">
        <v>269</v>
      </c>
      <c r="H173" s="273"/>
      <c r="I173" s="273"/>
      <c r="J173" s="281">
        <f t="shared" ref="J173:Y173" si="39">hundred * $H39 * J64 / $H52 * J90 / hours_in_year</f>
        <v>1.040942771138561</v>
      </c>
      <c r="K173" s="281">
        <f t="shared" si="39"/>
        <v>1.040942771138561</v>
      </c>
      <c r="L173" s="281">
        <f t="shared" si="39"/>
        <v>0.90169961225840112</v>
      </c>
      <c r="M173" s="281">
        <f t="shared" si="39"/>
        <v>0.90169961225840112</v>
      </c>
      <c r="N173" s="281">
        <f t="shared" si="39"/>
        <v>0.76652904692102086</v>
      </c>
      <c r="O173" s="281">
        <f t="shared" si="39"/>
        <v>0</v>
      </c>
      <c r="P173" s="281">
        <f t="shared" si="39"/>
        <v>0</v>
      </c>
      <c r="Q173" s="281">
        <f t="shared" si="39"/>
        <v>2.3466764449972839</v>
      </c>
      <c r="R173" s="281">
        <f t="shared" si="39"/>
        <v>0</v>
      </c>
      <c r="S173" s="281">
        <f t="shared" si="39"/>
        <v>0</v>
      </c>
      <c r="T173" s="281">
        <f t="shared" si="39"/>
        <v>0</v>
      </c>
      <c r="U173" s="281">
        <f t="shared" si="39"/>
        <v>0</v>
      </c>
      <c r="V173" s="281">
        <f t="shared" si="39"/>
        <v>0</v>
      </c>
      <c r="W173" s="281">
        <f t="shared" si="39"/>
        <v>0</v>
      </c>
      <c r="X173" s="281">
        <f t="shared" si="39"/>
        <v>0</v>
      </c>
      <c r="Y173" s="281">
        <f t="shared" si="39"/>
        <v>0</v>
      </c>
      <c r="Z173" s="269"/>
      <c r="AA173" s="269"/>
    </row>
    <row r="174" spans="3:27" x14ac:dyDescent="0.25">
      <c r="C174" s="32"/>
      <c r="D174" s="32"/>
      <c r="E174" s="32"/>
      <c r="J174" s="163"/>
      <c r="K174" s="163"/>
      <c r="L174" s="163"/>
      <c r="M174" s="163"/>
      <c r="N174" s="163"/>
      <c r="O174" s="163"/>
      <c r="P174" s="163"/>
      <c r="Q174" s="163"/>
      <c r="R174" s="163"/>
      <c r="S174" s="163"/>
      <c r="T174" s="163"/>
      <c r="U174" s="163"/>
      <c r="V174" s="163"/>
      <c r="W174" s="163"/>
      <c r="X174" s="163"/>
      <c r="Y174" s="163"/>
    </row>
    <row r="175" spans="3:27" x14ac:dyDescent="0.25">
      <c r="C175" s="31" t="str">
        <f ca="1">INDEX('Version control'!$H$34:$H$57,MATCH($A$1,'Version control'!$F$34:$F$57,0),1)&amp;"-D: Unit rate 2"</f>
        <v>Section 109-D: Unit rate 2</v>
      </c>
      <c r="D175" s="31"/>
      <c r="E175" s="31"/>
      <c r="F175" s="31"/>
      <c r="G175" s="31"/>
      <c r="H175" s="31"/>
      <c r="I175" s="31"/>
      <c r="J175" s="198"/>
      <c r="K175" s="198"/>
      <c r="L175" s="198"/>
      <c r="M175" s="198"/>
      <c r="N175" s="198"/>
      <c r="O175" s="198"/>
      <c r="P175" s="198"/>
      <c r="Q175" s="198"/>
      <c r="R175" s="198"/>
      <c r="S175" s="198"/>
      <c r="T175" s="198"/>
      <c r="U175" s="198"/>
      <c r="V175" s="198"/>
      <c r="W175" s="198"/>
      <c r="X175" s="198"/>
      <c r="Y175" s="198"/>
      <c r="Z175" s="31"/>
      <c r="AA175" s="31"/>
    </row>
    <row r="176" spans="3:27" x14ac:dyDescent="0.25">
      <c r="C176" s="32"/>
      <c r="D176" s="32"/>
      <c r="E176" s="32"/>
      <c r="J176" s="163"/>
      <c r="K176" s="163"/>
      <c r="L176" s="163"/>
      <c r="M176" s="163"/>
      <c r="N176" s="163"/>
      <c r="O176" s="163"/>
      <c r="P176" s="163"/>
      <c r="Q176" s="163"/>
      <c r="R176" s="163"/>
      <c r="S176" s="163"/>
      <c r="T176" s="163"/>
      <c r="U176" s="163"/>
      <c r="V176" s="163"/>
      <c r="W176" s="163"/>
      <c r="X176" s="163"/>
      <c r="Y176" s="163"/>
    </row>
    <row r="177" spans="4:27" x14ac:dyDescent="0.25">
      <c r="D177" s="29" t="s">
        <v>626</v>
      </c>
      <c r="E177" s="32"/>
      <c r="F177" s="32"/>
      <c r="J177" s="163"/>
      <c r="K177" s="163"/>
      <c r="L177" s="163"/>
      <c r="M177" s="163"/>
      <c r="N177" s="163"/>
      <c r="O177" s="163"/>
      <c r="P177" s="163"/>
      <c r="Q177" s="163"/>
      <c r="R177" s="163"/>
      <c r="S177" s="163"/>
      <c r="T177" s="163"/>
      <c r="U177" s="163"/>
      <c r="V177" s="163"/>
      <c r="W177" s="163"/>
      <c r="X177" s="163"/>
      <c r="Y177" s="163"/>
    </row>
    <row r="178" spans="4:27" x14ac:dyDescent="0.25">
      <c r="D178" s="29" t="s">
        <v>624</v>
      </c>
      <c r="E178" s="32"/>
      <c r="F178" s="32"/>
      <c r="J178" s="163"/>
      <c r="K178" s="163"/>
      <c r="L178" s="163"/>
      <c r="M178" s="163"/>
      <c r="N178" s="163"/>
      <c r="O178" s="163"/>
      <c r="P178" s="163"/>
      <c r="Q178" s="163"/>
      <c r="R178" s="163"/>
      <c r="S178" s="163"/>
      <c r="T178" s="163"/>
      <c r="U178" s="163"/>
      <c r="V178" s="163"/>
      <c r="W178" s="163"/>
      <c r="X178" s="163"/>
      <c r="Y178" s="163"/>
    </row>
    <row r="179" spans="4:27" x14ac:dyDescent="0.25">
      <c r="D179" s="32"/>
      <c r="E179" s="32"/>
      <c r="F179" s="32"/>
      <c r="I179" s="3" t="s">
        <v>154</v>
      </c>
      <c r="J179" s="163"/>
      <c r="K179" s="163"/>
      <c r="L179" s="163"/>
      <c r="M179" s="163"/>
      <c r="N179" s="163"/>
      <c r="O179" s="163"/>
      <c r="P179" s="163"/>
      <c r="Q179" s="163"/>
      <c r="R179" s="163"/>
      <c r="S179" s="163"/>
      <c r="T179" s="163"/>
      <c r="U179" s="163"/>
      <c r="V179" s="163"/>
      <c r="W179" s="163"/>
      <c r="X179" s="163"/>
      <c r="Y179" s="163"/>
      <c r="AA179" t="s">
        <v>625</v>
      </c>
    </row>
    <row r="180" spans="4:27" x14ac:dyDescent="0.25">
      <c r="E180" s="32" t="s">
        <v>621</v>
      </c>
      <c r="J180" s="163"/>
      <c r="K180" s="163"/>
      <c r="L180" s="163"/>
      <c r="M180" s="163"/>
      <c r="N180" s="163"/>
      <c r="O180" s="163"/>
      <c r="P180" s="163"/>
      <c r="Q180" s="163"/>
      <c r="R180" s="163"/>
      <c r="S180" s="163"/>
      <c r="T180" s="163"/>
      <c r="U180" s="163"/>
      <c r="V180" s="163"/>
      <c r="W180" s="163"/>
      <c r="X180" s="163"/>
      <c r="Y180" s="163"/>
    </row>
    <row r="181" spans="4:27" x14ac:dyDescent="0.25">
      <c r="E181" s="32"/>
      <c r="F181" s="190" t="s">
        <v>189</v>
      </c>
      <c r="G181" s="23" t="s">
        <v>269</v>
      </c>
      <c r="H181" s="267"/>
      <c r="I181" s="267"/>
      <c r="J181" s="279">
        <f t="shared" ref="J181:Y181" si="40">hundred * $H18 * J55 / $H43 * J93 * (1 - J67) / hours_in_year</f>
        <v>0</v>
      </c>
      <c r="K181" s="279">
        <f t="shared" si="40"/>
        <v>0</v>
      </c>
      <c r="L181" s="279">
        <f t="shared" si="40"/>
        <v>0</v>
      </c>
      <c r="M181" s="279">
        <f t="shared" si="40"/>
        <v>0</v>
      </c>
      <c r="N181" s="279">
        <f t="shared" si="40"/>
        <v>0</v>
      </c>
      <c r="O181" s="279">
        <f t="shared" si="40"/>
        <v>0</v>
      </c>
      <c r="P181" s="279">
        <f t="shared" si="40"/>
        <v>0</v>
      </c>
      <c r="Q181" s="279">
        <f t="shared" si="40"/>
        <v>0</v>
      </c>
      <c r="R181" s="279">
        <f t="shared" si="40"/>
        <v>0</v>
      </c>
      <c r="S181" s="279">
        <f t="shared" si="40"/>
        <v>0</v>
      </c>
      <c r="T181" s="279">
        <f t="shared" si="40"/>
        <v>0</v>
      </c>
      <c r="U181" s="279">
        <f t="shared" si="40"/>
        <v>0</v>
      </c>
      <c r="V181" s="279">
        <f t="shared" si="40"/>
        <v>0</v>
      </c>
      <c r="W181" s="279">
        <f t="shared" si="40"/>
        <v>0</v>
      </c>
      <c r="X181" s="279">
        <f t="shared" si="40"/>
        <v>0</v>
      </c>
      <c r="Y181" s="279">
        <f t="shared" si="40"/>
        <v>0</v>
      </c>
      <c r="Z181" s="269"/>
      <c r="AA181" s="269"/>
    </row>
    <row r="182" spans="4:27" x14ac:dyDescent="0.25">
      <c r="E182" s="32"/>
      <c r="F182" s="191" t="s">
        <v>191</v>
      </c>
      <c r="G182" t="s">
        <v>269</v>
      </c>
      <c r="H182" s="269"/>
      <c r="I182" s="269"/>
      <c r="J182" s="280">
        <f t="shared" ref="J182:Y182" si="41">hundred * $H19 * J56 / $H44 * J94 * (1 - J68) / hours_in_year</f>
        <v>0</v>
      </c>
      <c r="K182" s="280">
        <f t="shared" si="41"/>
        <v>0</v>
      </c>
      <c r="L182" s="280">
        <f t="shared" si="41"/>
        <v>0</v>
      </c>
      <c r="M182" s="280">
        <f t="shared" si="41"/>
        <v>0</v>
      </c>
      <c r="N182" s="280">
        <f t="shared" si="41"/>
        <v>0</v>
      </c>
      <c r="O182" s="280">
        <f t="shared" si="41"/>
        <v>0</v>
      </c>
      <c r="P182" s="280">
        <f t="shared" si="41"/>
        <v>0</v>
      </c>
      <c r="Q182" s="280">
        <f t="shared" si="41"/>
        <v>0</v>
      </c>
      <c r="R182" s="280">
        <f t="shared" si="41"/>
        <v>0</v>
      </c>
      <c r="S182" s="280">
        <f t="shared" si="41"/>
        <v>0</v>
      </c>
      <c r="T182" s="280">
        <f t="shared" si="41"/>
        <v>0</v>
      </c>
      <c r="U182" s="280">
        <f t="shared" si="41"/>
        <v>0</v>
      </c>
      <c r="V182" s="280">
        <f t="shared" si="41"/>
        <v>0</v>
      </c>
      <c r="W182" s="280">
        <f t="shared" si="41"/>
        <v>0</v>
      </c>
      <c r="X182" s="280">
        <f t="shared" si="41"/>
        <v>0</v>
      </c>
      <c r="Y182" s="280">
        <f t="shared" si="41"/>
        <v>0</v>
      </c>
      <c r="Z182" s="269"/>
      <c r="AA182" s="269"/>
    </row>
    <row r="183" spans="4:27" x14ac:dyDescent="0.25">
      <c r="E183" s="32"/>
      <c r="F183" s="191" t="s">
        <v>192</v>
      </c>
      <c r="G183" t="s">
        <v>269</v>
      </c>
      <c r="H183" s="269"/>
      <c r="I183" s="269"/>
      <c r="J183" s="280">
        <f t="shared" ref="J183:Y183" si="42">hundred * $H20 * J57 / $H45 * J95 * (1 - J69) / hours_in_year</f>
        <v>8.20832196261818E-2</v>
      </c>
      <c r="K183" s="280">
        <f t="shared" si="42"/>
        <v>8.20832196261818E-2</v>
      </c>
      <c r="L183" s="280">
        <f t="shared" si="42"/>
        <v>7.1103243484647985E-2</v>
      </c>
      <c r="M183" s="280">
        <f t="shared" si="42"/>
        <v>7.1103243484647985E-2</v>
      </c>
      <c r="N183" s="280">
        <f t="shared" si="42"/>
        <v>6.0444410444818519E-2</v>
      </c>
      <c r="O183" s="280">
        <f t="shared" si="42"/>
        <v>5.4009561381163848E-2</v>
      </c>
      <c r="P183" s="280">
        <f t="shared" si="42"/>
        <v>4.8683150691825494E-2</v>
      </c>
      <c r="Q183" s="280">
        <f t="shared" si="42"/>
        <v>5.937154460428945E-2</v>
      </c>
      <c r="R183" s="280">
        <f t="shared" si="42"/>
        <v>-4.9569480452315427E-2</v>
      </c>
      <c r="S183" s="280">
        <f t="shared" si="42"/>
        <v>-4.8144013018157933E-2</v>
      </c>
      <c r="T183" s="280">
        <f t="shared" si="42"/>
        <v>-4.9569480452315427E-2</v>
      </c>
      <c r="U183" s="280">
        <f t="shared" si="42"/>
        <v>-4.9569480452315427E-2</v>
      </c>
      <c r="V183" s="280">
        <f t="shared" si="42"/>
        <v>-4.8144013018157933E-2</v>
      </c>
      <c r="W183" s="280">
        <f t="shared" si="42"/>
        <v>-4.8144013018157933E-2</v>
      </c>
      <c r="X183" s="280">
        <f t="shared" si="42"/>
        <v>-4.7638201993134309E-2</v>
      </c>
      <c r="Y183" s="280">
        <f t="shared" si="42"/>
        <v>-4.7638201993134309E-2</v>
      </c>
      <c r="Z183" s="269"/>
      <c r="AA183" s="269"/>
    </row>
    <row r="184" spans="4:27" x14ac:dyDescent="0.25">
      <c r="E184" s="32"/>
      <c r="F184" s="191" t="s">
        <v>193</v>
      </c>
      <c r="G184" t="s">
        <v>269</v>
      </c>
      <c r="H184" s="269"/>
      <c r="I184" s="269"/>
      <c r="J184" s="280">
        <f t="shared" ref="J184:Y184" si="43">hundred * $H21 * J58 / $H46 * J96 * (1 - J70) / hours_in_year</f>
        <v>4.288771633873309E-2</v>
      </c>
      <c r="K184" s="280">
        <f t="shared" si="43"/>
        <v>4.288771633873309E-2</v>
      </c>
      <c r="L184" s="280">
        <f t="shared" si="43"/>
        <v>3.7150781258594549E-2</v>
      </c>
      <c r="M184" s="280">
        <f t="shared" si="43"/>
        <v>3.7150781258594549E-2</v>
      </c>
      <c r="N184" s="280">
        <f t="shared" si="43"/>
        <v>3.1581640452520321E-2</v>
      </c>
      <c r="O184" s="280">
        <f t="shared" si="43"/>
        <v>2.8219491860135459E-2</v>
      </c>
      <c r="P184" s="280">
        <f t="shared" si="43"/>
        <v>2.5436491975527189E-2</v>
      </c>
      <c r="Q184" s="280">
        <f t="shared" si="43"/>
        <v>3.1021078061721375E-2</v>
      </c>
      <c r="R184" s="280">
        <f t="shared" si="43"/>
        <v>-2.5899591005067998E-2</v>
      </c>
      <c r="S184" s="280">
        <f t="shared" si="43"/>
        <v>-2.5154797571712607E-2</v>
      </c>
      <c r="T184" s="280">
        <f t="shared" si="43"/>
        <v>-2.5899591005067998E-2</v>
      </c>
      <c r="U184" s="280">
        <f t="shared" si="43"/>
        <v>-2.5899591005067998E-2</v>
      </c>
      <c r="V184" s="280">
        <f t="shared" si="43"/>
        <v>-2.5154797571712607E-2</v>
      </c>
      <c r="W184" s="280">
        <f t="shared" si="43"/>
        <v>-2.5154797571712607E-2</v>
      </c>
      <c r="X184" s="280">
        <f t="shared" si="43"/>
        <v>-2.4890516030844568E-2</v>
      </c>
      <c r="Y184" s="280">
        <f t="shared" si="43"/>
        <v>-2.4890516030844568E-2</v>
      </c>
      <c r="Z184" s="269"/>
      <c r="AA184" s="269"/>
    </row>
    <row r="185" spans="4:27" x14ac:dyDescent="0.25">
      <c r="E185" s="32"/>
      <c r="F185" s="191" t="s">
        <v>194</v>
      </c>
      <c r="G185" t="s">
        <v>269</v>
      </c>
      <c r="H185" s="269"/>
      <c r="I185" s="269"/>
      <c r="J185" s="280">
        <f t="shared" ref="J185:Y185" si="44">hundred * $H22 * J59 / $H47 * J97 * (1 - J71) / hours_in_year</f>
        <v>7.4218250121980842E-2</v>
      </c>
      <c r="K185" s="280">
        <f t="shared" si="44"/>
        <v>7.4218250121980842E-2</v>
      </c>
      <c r="L185" s="280">
        <f t="shared" si="44"/>
        <v>6.4290342575018505E-2</v>
      </c>
      <c r="M185" s="280">
        <f t="shared" si="44"/>
        <v>6.4290342575018505E-2</v>
      </c>
      <c r="N185" s="280">
        <f t="shared" si="44"/>
        <v>5.4652807154731836E-2</v>
      </c>
      <c r="O185" s="280">
        <f t="shared" si="44"/>
        <v>4.8834526153103269E-2</v>
      </c>
      <c r="P185" s="280">
        <f t="shared" si="44"/>
        <v>4.1138785364950289E-2</v>
      </c>
      <c r="Q185" s="280">
        <f t="shared" si="44"/>
        <v>5.066100352944742E-2</v>
      </c>
      <c r="R185" s="280">
        <f t="shared" si="44"/>
        <v>-4.4819880547827852E-2</v>
      </c>
      <c r="S185" s="280">
        <f t="shared" si="44"/>
        <v>-4.3530997155450613E-2</v>
      </c>
      <c r="T185" s="280">
        <f t="shared" si="44"/>
        <v>-4.4819880547827852E-2</v>
      </c>
      <c r="U185" s="280">
        <f t="shared" si="44"/>
        <v>-4.4819880547827852E-2</v>
      </c>
      <c r="V185" s="280">
        <f t="shared" si="44"/>
        <v>-4.3530997155450613E-2</v>
      </c>
      <c r="W185" s="280">
        <f t="shared" si="44"/>
        <v>-4.3530997155450613E-2</v>
      </c>
      <c r="X185" s="280">
        <f t="shared" si="44"/>
        <v>-4.0255771023808666E-2</v>
      </c>
      <c r="Y185" s="280">
        <f t="shared" si="44"/>
        <v>-4.0255771023808666E-2</v>
      </c>
      <c r="Z185" s="269"/>
      <c r="AA185" s="269"/>
    </row>
    <row r="186" spans="4:27" x14ac:dyDescent="0.25">
      <c r="E186" s="32"/>
      <c r="F186" s="191" t="s">
        <v>195</v>
      </c>
      <c r="G186" t="s">
        <v>269</v>
      </c>
      <c r="H186" s="269"/>
      <c r="I186" s="269"/>
      <c r="J186" s="280">
        <f t="shared" ref="J186:Y186" si="45">hundred * $H23 * J60 / $H48 * J98 * (1 - J72) / hours_in_year</f>
        <v>0.11939596650254747</v>
      </c>
      <c r="K186" s="280">
        <f t="shared" si="45"/>
        <v>0.11939596650254747</v>
      </c>
      <c r="L186" s="280">
        <f t="shared" si="45"/>
        <v>0.10342479883193643</v>
      </c>
      <c r="M186" s="280">
        <f t="shared" si="45"/>
        <v>0.10342479883193643</v>
      </c>
      <c r="N186" s="280">
        <f t="shared" si="45"/>
        <v>8.792075697812736E-2</v>
      </c>
      <c r="O186" s="280">
        <f t="shared" si="45"/>
        <v>7.8560804642534482E-2</v>
      </c>
      <c r="P186" s="280">
        <f t="shared" si="45"/>
        <v>4.5913152604659231E-2</v>
      </c>
      <c r="Q186" s="280">
        <f t="shared" si="45"/>
        <v>8.149908506931941E-2</v>
      </c>
      <c r="R186" s="280">
        <f t="shared" si="45"/>
        <v>-7.2102386511963351E-2</v>
      </c>
      <c r="S186" s="280">
        <f t="shared" si="45"/>
        <v>-7.0028941259764013E-2</v>
      </c>
      <c r="T186" s="280">
        <f t="shared" si="45"/>
        <v>-7.2102386511963351E-2</v>
      </c>
      <c r="U186" s="280">
        <f t="shared" si="45"/>
        <v>-7.2102386511963351E-2</v>
      </c>
      <c r="V186" s="280">
        <f t="shared" si="45"/>
        <v>-7.0028941259764013E-2</v>
      </c>
      <c r="W186" s="280">
        <f t="shared" si="45"/>
        <v>-7.0028941259764013E-2</v>
      </c>
      <c r="X186" s="280">
        <f t="shared" si="45"/>
        <v>-4.4927659916013177E-2</v>
      </c>
      <c r="Y186" s="280">
        <f t="shared" si="45"/>
        <v>-4.4927659916013177E-2</v>
      </c>
      <c r="Z186" s="269"/>
      <c r="AA186" s="269"/>
    </row>
    <row r="187" spans="4:27" x14ac:dyDescent="0.25">
      <c r="E187" s="32"/>
      <c r="F187" s="191" t="s">
        <v>196</v>
      </c>
      <c r="G187" t="s">
        <v>269</v>
      </c>
      <c r="H187" s="269"/>
      <c r="I187" s="269"/>
      <c r="J187" s="280">
        <f t="shared" ref="J187:Y187" si="46">hundred * $H24 * J61 / $H49 * J99 * (1 - J73) / hours_in_year</f>
        <v>7.1772035242776326E-3</v>
      </c>
      <c r="K187" s="280">
        <f t="shared" si="46"/>
        <v>7.1772035242776326E-3</v>
      </c>
      <c r="L187" s="280">
        <f t="shared" si="46"/>
        <v>6.2171349034512097E-3</v>
      </c>
      <c r="M187" s="280">
        <f t="shared" si="46"/>
        <v>6.2171349034512097E-3</v>
      </c>
      <c r="N187" s="280">
        <f t="shared" si="46"/>
        <v>5.2851464360574455E-3</v>
      </c>
      <c r="O187" s="280">
        <f t="shared" si="46"/>
        <v>4.7224952439113973E-3</v>
      </c>
      <c r="P187" s="280">
        <f t="shared" si="46"/>
        <v>2.7599595726529504E-3</v>
      </c>
      <c r="Q187" s="280">
        <f t="shared" si="46"/>
        <v>5.1913370493546582E-3</v>
      </c>
      <c r="R187" s="280">
        <f t="shared" si="46"/>
        <v>-4.3342628544445006E-3</v>
      </c>
      <c r="S187" s="280">
        <f t="shared" si="46"/>
        <v>-4.2096226424892299E-3</v>
      </c>
      <c r="T187" s="280">
        <f t="shared" si="46"/>
        <v>-4.3342628544445006E-3</v>
      </c>
      <c r="U187" s="280">
        <f t="shared" si="46"/>
        <v>-4.3342628544445006E-3</v>
      </c>
      <c r="V187" s="280">
        <f t="shared" si="46"/>
        <v>-4.2096226424892299E-3</v>
      </c>
      <c r="W187" s="280">
        <f t="shared" si="46"/>
        <v>-4.2096226424892299E-3</v>
      </c>
      <c r="X187" s="280">
        <f t="shared" si="46"/>
        <v>-2.7007190320778259E-3</v>
      </c>
      <c r="Y187" s="280">
        <f t="shared" si="46"/>
        <v>-2.7007190320778259E-3</v>
      </c>
      <c r="Z187" s="269"/>
      <c r="AA187" s="269"/>
    </row>
    <row r="188" spans="4:27" x14ac:dyDescent="0.25">
      <c r="E188" s="32"/>
      <c r="F188" s="191" t="s">
        <v>197</v>
      </c>
      <c r="G188" t="s">
        <v>269</v>
      </c>
      <c r="H188" s="269"/>
      <c r="I188" s="269"/>
      <c r="J188" s="280">
        <f t="shared" ref="J188:Y188" si="47">hundred * $H25 * J62 / $H50 * J100 * (1 - J74) / hours_in_year</f>
        <v>0.1432736309123161</v>
      </c>
      <c r="K188" s="280">
        <f t="shared" si="47"/>
        <v>0.1432736309123161</v>
      </c>
      <c r="L188" s="280">
        <f t="shared" si="47"/>
        <v>0.12410843422178119</v>
      </c>
      <c r="M188" s="280">
        <f t="shared" si="47"/>
        <v>0.12410843422178119</v>
      </c>
      <c r="N188" s="280">
        <f t="shared" si="47"/>
        <v>0.10550378252976318</v>
      </c>
      <c r="O188" s="280">
        <f t="shared" si="47"/>
        <v>9.4271959583231799E-2</v>
      </c>
      <c r="P188" s="280">
        <f t="shared" si="47"/>
        <v>5.9083415962781972E-2</v>
      </c>
      <c r="Q188" s="280">
        <f t="shared" si="47"/>
        <v>9.7797858470068028E-2</v>
      </c>
      <c r="R188" s="280">
        <f t="shared" si="47"/>
        <v>-8.6521940527963997E-2</v>
      </c>
      <c r="S188" s="280">
        <f t="shared" si="47"/>
        <v>-8.4033832776232179E-2</v>
      </c>
      <c r="T188" s="280">
        <f t="shared" si="47"/>
        <v>-8.6521940527963997E-2</v>
      </c>
      <c r="U188" s="280">
        <f t="shared" si="47"/>
        <v>-8.6521940527963997E-2</v>
      </c>
      <c r="V188" s="280">
        <f t="shared" si="47"/>
        <v>-8.4033832776232179E-2</v>
      </c>
      <c r="W188" s="280">
        <f t="shared" si="47"/>
        <v>-8.4033832776232179E-2</v>
      </c>
      <c r="X188" s="280">
        <f t="shared" si="47"/>
        <v>0</v>
      </c>
      <c r="Y188" s="280">
        <f t="shared" si="47"/>
        <v>0</v>
      </c>
      <c r="Z188" s="269"/>
      <c r="AA188" s="269"/>
    </row>
    <row r="189" spans="4:27" x14ac:dyDescent="0.25">
      <c r="E189" s="32"/>
      <c r="F189" s="191" t="s">
        <v>198</v>
      </c>
      <c r="G189" t="s">
        <v>269</v>
      </c>
      <c r="H189" s="269"/>
      <c r="I189" s="269"/>
      <c r="J189" s="280">
        <f t="shared" ref="J189:Y189" si="48">hundred * $H26 * J63 / $H51 * J101 * (1 - J75) / hours_in_year</f>
        <v>3.6650243967416458E-2</v>
      </c>
      <c r="K189" s="280">
        <f t="shared" si="48"/>
        <v>3.6650243967416458E-2</v>
      </c>
      <c r="L189" s="280">
        <f t="shared" si="48"/>
        <v>3.1747673062226631E-2</v>
      </c>
      <c r="M189" s="280">
        <f t="shared" si="48"/>
        <v>3.1747673062226631E-2</v>
      </c>
      <c r="N189" s="280">
        <f t="shared" si="48"/>
        <v>2.6988492889996826E-2</v>
      </c>
      <c r="O189" s="280">
        <f t="shared" si="48"/>
        <v>2.4115326009476204E-2</v>
      </c>
      <c r="P189" s="280">
        <f t="shared" si="48"/>
        <v>0</v>
      </c>
      <c r="Q189" s="280">
        <f t="shared" si="48"/>
        <v>2.5017271842663582E-2</v>
      </c>
      <c r="R189" s="280">
        <f t="shared" si="48"/>
        <v>-2.2132825200925296E-2</v>
      </c>
      <c r="S189" s="280">
        <f t="shared" si="48"/>
        <v>0</v>
      </c>
      <c r="T189" s="280">
        <f t="shared" si="48"/>
        <v>-2.2132825200925296E-2</v>
      </c>
      <c r="U189" s="280">
        <f t="shared" si="48"/>
        <v>-2.2132825200925296E-2</v>
      </c>
      <c r="V189" s="280">
        <f t="shared" si="48"/>
        <v>0</v>
      </c>
      <c r="W189" s="280">
        <f t="shared" si="48"/>
        <v>0</v>
      </c>
      <c r="X189" s="280">
        <f t="shared" si="48"/>
        <v>0</v>
      </c>
      <c r="Y189" s="280">
        <f t="shared" si="48"/>
        <v>0</v>
      </c>
      <c r="Z189" s="269"/>
      <c r="AA189" s="269"/>
    </row>
    <row r="190" spans="4:27" x14ac:dyDescent="0.25">
      <c r="E190" s="32"/>
      <c r="F190" s="192" t="s">
        <v>199</v>
      </c>
      <c r="G190" s="37" t="s">
        <v>269</v>
      </c>
      <c r="H190" s="273"/>
      <c r="I190" s="273"/>
      <c r="J190" s="281">
        <f t="shared" ref="J190:Y190" si="49">hundred * $H27 * J64 / $H52 * J102 * (1 - J76) / hours_in_year</f>
        <v>1.538093057419777E-2</v>
      </c>
      <c r="K190" s="281">
        <f t="shared" si="49"/>
        <v>1.538093057419777E-2</v>
      </c>
      <c r="L190" s="281">
        <f t="shared" si="49"/>
        <v>1.332347898411161E-2</v>
      </c>
      <c r="M190" s="281">
        <f t="shared" si="49"/>
        <v>1.332347898411161E-2</v>
      </c>
      <c r="N190" s="281">
        <f t="shared" si="49"/>
        <v>1.1326203880452175E-2</v>
      </c>
      <c r="O190" s="281">
        <f t="shared" si="49"/>
        <v>0</v>
      </c>
      <c r="P190" s="281">
        <f t="shared" si="49"/>
        <v>0</v>
      </c>
      <c r="Q190" s="281">
        <f t="shared" si="49"/>
        <v>1.0498945701696665E-2</v>
      </c>
      <c r="R190" s="281">
        <f t="shared" si="49"/>
        <v>0</v>
      </c>
      <c r="S190" s="281">
        <f t="shared" si="49"/>
        <v>0</v>
      </c>
      <c r="T190" s="281">
        <f t="shared" si="49"/>
        <v>0</v>
      </c>
      <c r="U190" s="281">
        <f t="shared" si="49"/>
        <v>0</v>
      </c>
      <c r="V190" s="281">
        <f t="shared" si="49"/>
        <v>0</v>
      </c>
      <c r="W190" s="281">
        <f t="shared" si="49"/>
        <v>0</v>
      </c>
      <c r="X190" s="281">
        <f t="shared" si="49"/>
        <v>0</v>
      </c>
      <c r="Y190" s="281">
        <f t="shared" si="49"/>
        <v>0</v>
      </c>
      <c r="Z190" s="269"/>
      <c r="AA190" s="269"/>
    </row>
    <row r="191" spans="4:27" x14ac:dyDescent="0.25">
      <c r="E191" s="32"/>
      <c r="F191" s="191"/>
      <c r="J191" s="163"/>
      <c r="K191" s="163"/>
      <c r="L191" s="163"/>
      <c r="M191" s="163"/>
      <c r="N191" s="163"/>
      <c r="O191" s="163"/>
      <c r="P191" s="163"/>
      <c r="Q191" s="163"/>
      <c r="R191" s="163"/>
      <c r="S191" s="163"/>
      <c r="T191" s="163"/>
      <c r="U191" s="163"/>
      <c r="V191" s="163"/>
      <c r="W191" s="163"/>
      <c r="X191" s="163"/>
      <c r="Y191" s="163"/>
    </row>
    <row r="192" spans="4:27" x14ac:dyDescent="0.25">
      <c r="E192" s="32" t="s">
        <v>622</v>
      </c>
      <c r="J192" s="163"/>
      <c r="K192" s="163"/>
      <c r="L192" s="163"/>
      <c r="M192" s="163"/>
      <c r="N192" s="163"/>
      <c r="O192" s="163"/>
      <c r="P192" s="163"/>
      <c r="Q192" s="163"/>
      <c r="R192" s="163"/>
      <c r="S192" s="163"/>
      <c r="T192" s="163"/>
      <c r="U192" s="163"/>
      <c r="V192" s="163"/>
      <c r="W192" s="163"/>
      <c r="X192" s="163"/>
      <c r="Y192" s="163"/>
    </row>
    <row r="193" spans="3:27" x14ac:dyDescent="0.25">
      <c r="D193" s="32"/>
      <c r="E193" s="32"/>
      <c r="F193" s="190" t="s">
        <v>189</v>
      </c>
      <c r="G193" s="23" t="s">
        <v>269</v>
      </c>
      <c r="H193" s="267"/>
      <c r="I193" s="267"/>
      <c r="J193" s="279">
        <f t="shared" ref="J193:Y193" si="50">hundred * $H30 * J55 / $H43 * J93 / hours_in_year</f>
        <v>2.746679637175034E-2</v>
      </c>
      <c r="K193" s="279">
        <f t="shared" si="50"/>
        <v>2.746679637175034E-2</v>
      </c>
      <c r="L193" s="279">
        <f t="shared" si="50"/>
        <v>2.3792662118493169E-2</v>
      </c>
      <c r="M193" s="279">
        <f t="shared" si="50"/>
        <v>2.3792662118493169E-2</v>
      </c>
      <c r="N193" s="279">
        <f t="shared" si="50"/>
        <v>2.0225989198025769E-2</v>
      </c>
      <c r="O193" s="279">
        <f t="shared" si="50"/>
        <v>1.8072751426417014E-2</v>
      </c>
      <c r="P193" s="279">
        <f t="shared" si="50"/>
        <v>1.6290420781217688E-2</v>
      </c>
      <c r="Q193" s="279">
        <f t="shared" si="50"/>
        <v>3.5045328455294372E-2</v>
      </c>
      <c r="R193" s="279">
        <f t="shared" si="50"/>
        <v>-1.6587005627188255E-2</v>
      </c>
      <c r="S193" s="279">
        <f t="shared" si="50"/>
        <v>-1.6110013814161502E-2</v>
      </c>
      <c r="T193" s="279">
        <f t="shared" si="50"/>
        <v>-1.6587005627188255E-2</v>
      </c>
      <c r="U193" s="279">
        <f t="shared" si="50"/>
        <v>-1.6587005627188255E-2</v>
      </c>
      <c r="V193" s="279">
        <f t="shared" si="50"/>
        <v>-1.6110013814161502E-2</v>
      </c>
      <c r="W193" s="279">
        <f t="shared" si="50"/>
        <v>-1.6110013814161502E-2</v>
      </c>
      <c r="X193" s="279">
        <f t="shared" si="50"/>
        <v>-1.5940758654700401E-2</v>
      </c>
      <c r="Y193" s="279">
        <f t="shared" si="50"/>
        <v>-1.5940758654700401E-2</v>
      </c>
      <c r="Z193" s="269"/>
      <c r="AA193" s="269"/>
    </row>
    <row r="194" spans="3:27" x14ac:dyDescent="0.25">
      <c r="D194" s="32"/>
      <c r="E194" s="32"/>
      <c r="F194" s="191" t="s">
        <v>191</v>
      </c>
      <c r="G194" t="s">
        <v>269</v>
      </c>
      <c r="H194" s="269"/>
      <c r="I194" s="269"/>
      <c r="J194" s="280">
        <f t="shared" ref="J194:Y194" si="51">hundred * $H31 * J56 / $H44 * J94 / hours_in_year</f>
        <v>0</v>
      </c>
      <c r="K194" s="280">
        <f t="shared" si="51"/>
        <v>0</v>
      </c>
      <c r="L194" s="280">
        <f t="shared" si="51"/>
        <v>0</v>
      </c>
      <c r="M194" s="280">
        <f t="shared" si="51"/>
        <v>0</v>
      </c>
      <c r="N194" s="280">
        <f t="shared" si="51"/>
        <v>0</v>
      </c>
      <c r="O194" s="280">
        <f t="shared" si="51"/>
        <v>0</v>
      </c>
      <c r="P194" s="280">
        <f t="shared" si="51"/>
        <v>0</v>
      </c>
      <c r="Q194" s="280">
        <f t="shared" si="51"/>
        <v>0</v>
      </c>
      <c r="R194" s="280">
        <f t="shared" si="51"/>
        <v>0</v>
      </c>
      <c r="S194" s="280">
        <f t="shared" si="51"/>
        <v>0</v>
      </c>
      <c r="T194" s="280">
        <f t="shared" si="51"/>
        <v>0</v>
      </c>
      <c r="U194" s="280">
        <f t="shared" si="51"/>
        <v>0</v>
      </c>
      <c r="V194" s="280">
        <f t="shared" si="51"/>
        <v>0</v>
      </c>
      <c r="W194" s="280">
        <f t="shared" si="51"/>
        <v>0</v>
      </c>
      <c r="X194" s="280">
        <f t="shared" si="51"/>
        <v>0</v>
      </c>
      <c r="Y194" s="280">
        <f t="shared" si="51"/>
        <v>0</v>
      </c>
      <c r="Z194" s="269"/>
      <c r="AA194" s="269"/>
    </row>
    <row r="195" spans="3:27" x14ac:dyDescent="0.25">
      <c r="D195" s="32"/>
      <c r="E195" s="32"/>
      <c r="F195" s="191" t="s">
        <v>192</v>
      </c>
      <c r="G195" t="s">
        <v>269</v>
      </c>
      <c r="H195" s="269"/>
      <c r="I195" s="269"/>
      <c r="J195" s="280">
        <f t="shared" ref="J195:Y195" si="52">hundred * $H32 * J57 / $H45 * J95 / hours_in_year</f>
        <v>5.2114738044284743E-2</v>
      </c>
      <c r="K195" s="280">
        <f t="shared" si="52"/>
        <v>5.2114738044284743E-2</v>
      </c>
      <c r="L195" s="280">
        <f t="shared" si="52"/>
        <v>4.5143537560745087E-2</v>
      </c>
      <c r="M195" s="280">
        <f t="shared" si="52"/>
        <v>4.5143537560745087E-2</v>
      </c>
      <c r="N195" s="280">
        <f t="shared" si="52"/>
        <v>3.8376231231166132E-2</v>
      </c>
      <c r="O195" s="280">
        <f t="shared" si="52"/>
        <v>3.4290737571997944E-2</v>
      </c>
      <c r="P195" s="280">
        <f t="shared" si="52"/>
        <v>3.0908992812773046E-2</v>
      </c>
      <c r="Q195" s="280">
        <f t="shared" si="52"/>
        <v>3.7695067377086514E-2</v>
      </c>
      <c r="R195" s="280">
        <f t="shared" si="52"/>
        <v>-3.1471724678057408E-2</v>
      </c>
      <c r="S195" s="280">
        <f t="shared" si="52"/>
        <v>-3.0566693634439795E-2</v>
      </c>
      <c r="T195" s="280">
        <f t="shared" si="52"/>
        <v>-3.1471724678057408E-2</v>
      </c>
      <c r="U195" s="280">
        <f t="shared" si="52"/>
        <v>-3.1471724678057408E-2</v>
      </c>
      <c r="V195" s="280">
        <f t="shared" si="52"/>
        <v>-3.0566693634439795E-2</v>
      </c>
      <c r="W195" s="280">
        <f t="shared" si="52"/>
        <v>-3.0566693634439795E-2</v>
      </c>
      <c r="X195" s="280">
        <f t="shared" si="52"/>
        <v>-3.0245553586704523E-2</v>
      </c>
      <c r="Y195" s="280">
        <f t="shared" si="52"/>
        <v>-3.0245553586704523E-2</v>
      </c>
      <c r="Z195" s="269"/>
      <c r="AA195" s="269"/>
    </row>
    <row r="196" spans="3:27" x14ac:dyDescent="0.25">
      <c r="D196" s="32"/>
      <c r="E196" s="32"/>
      <c r="F196" s="191" t="s">
        <v>193</v>
      </c>
      <c r="G196" t="s">
        <v>269</v>
      </c>
      <c r="H196" s="269"/>
      <c r="I196" s="269"/>
      <c r="J196" s="280">
        <f t="shared" ref="J196:Y196" si="53">hundred * $H33 * J58 / $H46 * J96 / hours_in_year</f>
        <v>2.7229464347153221E-2</v>
      </c>
      <c r="K196" s="280">
        <f t="shared" si="53"/>
        <v>2.7229464347153221E-2</v>
      </c>
      <c r="L196" s="280">
        <f t="shared" si="53"/>
        <v>2.3587077142556735E-2</v>
      </c>
      <c r="M196" s="280">
        <f t="shared" si="53"/>
        <v>2.3587077142556735E-2</v>
      </c>
      <c r="N196" s="280">
        <f t="shared" si="53"/>
        <v>2.0051222730874761E-2</v>
      </c>
      <c r="O196" s="280">
        <f t="shared" si="53"/>
        <v>1.7916590415572538E-2</v>
      </c>
      <c r="P196" s="280">
        <f t="shared" si="53"/>
        <v>1.6149660333831774E-2</v>
      </c>
      <c r="Q196" s="280">
        <f t="shared" si="53"/>
        <v>1.9695320973036713E-2</v>
      </c>
      <c r="R196" s="280">
        <f t="shared" si="53"/>
        <v>-1.6443682482609471E-2</v>
      </c>
      <c r="S196" s="280">
        <f t="shared" si="53"/>
        <v>-1.5970812207135546E-2</v>
      </c>
      <c r="T196" s="280">
        <f t="shared" si="53"/>
        <v>-1.6443682482609471E-2</v>
      </c>
      <c r="U196" s="280">
        <f t="shared" si="53"/>
        <v>-1.6443682482609471E-2</v>
      </c>
      <c r="V196" s="280">
        <f t="shared" si="53"/>
        <v>-1.5970812207135546E-2</v>
      </c>
      <c r="W196" s="280">
        <f t="shared" si="53"/>
        <v>-1.5970812207135546E-2</v>
      </c>
      <c r="X196" s="280">
        <f t="shared" si="53"/>
        <v>-1.5803019528741569E-2</v>
      </c>
      <c r="Y196" s="280">
        <f t="shared" si="53"/>
        <v>-1.5803019528741569E-2</v>
      </c>
      <c r="Z196" s="269"/>
      <c r="AA196" s="269"/>
    </row>
    <row r="197" spans="3:27" x14ac:dyDescent="0.25">
      <c r="D197" s="32"/>
      <c r="E197" s="32"/>
      <c r="F197" s="191" t="s">
        <v>194</v>
      </c>
      <c r="G197" t="s">
        <v>269</v>
      </c>
      <c r="H197" s="269"/>
      <c r="I197" s="269"/>
      <c r="J197" s="280">
        <f t="shared" ref="J197:Y197" si="54">hundred * $H34 * J59 / $H47 * J97 / hours_in_year</f>
        <v>4.7121259141966167E-2</v>
      </c>
      <c r="K197" s="280">
        <f t="shared" si="54"/>
        <v>4.7121259141966167E-2</v>
      </c>
      <c r="L197" s="280">
        <f t="shared" si="54"/>
        <v>4.0818018315228542E-2</v>
      </c>
      <c r="M197" s="280">
        <f t="shared" si="54"/>
        <v>4.0818018315228542E-2</v>
      </c>
      <c r="N197" s="280">
        <f t="shared" si="54"/>
        <v>3.4699135112204765E-2</v>
      </c>
      <c r="O197" s="280">
        <f t="shared" si="54"/>
        <v>3.1005101281065983E-2</v>
      </c>
      <c r="P197" s="280">
        <f t="shared" si="54"/>
        <v>2.7947385227384346E-2</v>
      </c>
      <c r="Q197" s="280">
        <f t="shared" si="54"/>
        <v>3.2164734034818565E-2</v>
      </c>
      <c r="R197" s="280">
        <f t="shared" si="54"/>
        <v>-2.8456197802225917E-2</v>
      </c>
      <c r="S197" s="280">
        <f t="shared" si="54"/>
        <v>-2.7637884136299199E-2</v>
      </c>
      <c r="T197" s="280">
        <f t="shared" si="54"/>
        <v>-2.8456197802225917E-2</v>
      </c>
      <c r="U197" s="280">
        <f t="shared" si="54"/>
        <v>-2.8456197802225917E-2</v>
      </c>
      <c r="V197" s="280">
        <f t="shared" si="54"/>
        <v>-2.7637884136299199E-2</v>
      </c>
      <c r="W197" s="280">
        <f t="shared" si="54"/>
        <v>-2.7637884136299199E-2</v>
      </c>
      <c r="X197" s="280">
        <f t="shared" si="54"/>
        <v>-2.734751477097036E-2</v>
      </c>
      <c r="Y197" s="280">
        <f t="shared" si="54"/>
        <v>-2.734751477097036E-2</v>
      </c>
      <c r="Z197" s="269"/>
      <c r="AA197" s="269"/>
    </row>
    <row r="198" spans="3:27" x14ac:dyDescent="0.25">
      <c r="D198" s="32"/>
      <c r="E198" s="32"/>
      <c r="F198" s="191" t="s">
        <v>195</v>
      </c>
      <c r="G198" t="s">
        <v>269</v>
      </c>
      <c r="H198" s="269"/>
      <c r="I198" s="269"/>
      <c r="J198" s="280">
        <f t="shared" ref="J198:Y198" si="55">hundred * $H35 * J60 / $H48 * J98 / hours_in_year</f>
        <v>7.5804647358639385E-2</v>
      </c>
      <c r="K198" s="280">
        <f t="shared" si="55"/>
        <v>7.5804647358639385E-2</v>
      </c>
      <c r="L198" s="280">
        <f t="shared" si="55"/>
        <v>6.5664533176888196E-2</v>
      </c>
      <c r="M198" s="280">
        <f t="shared" si="55"/>
        <v>6.5664533176888196E-2</v>
      </c>
      <c r="N198" s="280">
        <f t="shared" si="55"/>
        <v>5.5820997756145935E-2</v>
      </c>
      <c r="O198" s="280">
        <f t="shared" si="55"/>
        <v>4.9878352398204519E-2</v>
      </c>
      <c r="P198" s="280">
        <f t="shared" si="55"/>
        <v>4.4959360601447652E-2</v>
      </c>
      <c r="Q198" s="280">
        <f t="shared" si="55"/>
        <v>5.1743870288948959E-2</v>
      </c>
      <c r="R198" s="280">
        <f t="shared" si="55"/>
        <v>-4.5777894709190872E-2</v>
      </c>
      <c r="S198" s="280">
        <f t="shared" si="55"/>
        <v>-4.4461461744455318E-2</v>
      </c>
      <c r="T198" s="280">
        <f t="shared" si="55"/>
        <v>-4.5777894709190872E-2</v>
      </c>
      <c r="U198" s="280">
        <f t="shared" si="55"/>
        <v>-4.5777894709190872E-2</v>
      </c>
      <c r="V198" s="280">
        <f t="shared" si="55"/>
        <v>-4.4461461744455318E-2</v>
      </c>
      <c r="W198" s="280">
        <f t="shared" si="55"/>
        <v>-4.4461461744455318E-2</v>
      </c>
      <c r="X198" s="280">
        <f t="shared" si="55"/>
        <v>-4.3994340369871744E-2</v>
      </c>
      <c r="Y198" s="280">
        <f t="shared" si="55"/>
        <v>-4.3994340369871744E-2</v>
      </c>
      <c r="Z198" s="269"/>
      <c r="AA198" s="269"/>
    </row>
    <row r="199" spans="3:27" x14ac:dyDescent="0.25">
      <c r="D199" s="32"/>
      <c r="E199" s="32"/>
      <c r="F199" s="191" t="s">
        <v>196</v>
      </c>
      <c r="G199" t="s">
        <v>269</v>
      </c>
      <c r="H199" s="269"/>
      <c r="I199" s="269"/>
      <c r="J199" s="280">
        <f t="shared" ref="J199:Y199" si="56">hundred * $H36 * J61 / $H49 * J99 / hours_in_year</f>
        <v>4.5568154278263755E-3</v>
      </c>
      <c r="K199" s="280">
        <f t="shared" si="56"/>
        <v>4.5568154278263755E-3</v>
      </c>
      <c r="L199" s="280">
        <f t="shared" si="56"/>
        <v>3.9472666685700115E-3</v>
      </c>
      <c r="M199" s="280">
        <f t="shared" si="56"/>
        <v>3.9472666685700115E-3</v>
      </c>
      <c r="N199" s="280">
        <f t="shared" si="56"/>
        <v>3.3555460335886306E-3</v>
      </c>
      <c r="O199" s="280">
        <f t="shared" si="56"/>
        <v>2.9983180931821242E-3</v>
      </c>
      <c r="P199" s="280">
        <f t="shared" si="56"/>
        <v>2.7026246431121601E-3</v>
      </c>
      <c r="Q199" s="280">
        <f t="shared" si="56"/>
        <v>3.2959863375097579E-3</v>
      </c>
      <c r="R199" s="280">
        <f t="shared" si="56"/>
        <v>-2.7518288671318281E-3</v>
      </c>
      <c r="S199" s="280">
        <f t="shared" si="56"/>
        <v>-2.6726946418246969E-3</v>
      </c>
      <c r="T199" s="280">
        <f t="shared" si="56"/>
        <v>-2.7518288671318281E-3</v>
      </c>
      <c r="U199" s="280">
        <f t="shared" si="56"/>
        <v>-2.7518288671318281E-3</v>
      </c>
      <c r="V199" s="280">
        <f t="shared" si="56"/>
        <v>-2.6726946418246969E-3</v>
      </c>
      <c r="W199" s="280">
        <f t="shared" si="56"/>
        <v>-2.6726946418246969E-3</v>
      </c>
      <c r="X199" s="280">
        <f t="shared" si="56"/>
        <v>-2.6446147554253928E-3</v>
      </c>
      <c r="Y199" s="280">
        <f t="shared" si="56"/>
        <v>-2.6446147554253928E-3</v>
      </c>
      <c r="Z199" s="269"/>
      <c r="AA199" s="269"/>
    </row>
    <row r="200" spans="3:27" x14ac:dyDescent="0.25">
      <c r="D200" s="32"/>
      <c r="E200" s="32"/>
      <c r="F200" s="191" t="s">
        <v>197</v>
      </c>
      <c r="G200" t="s">
        <v>269</v>
      </c>
      <c r="H200" s="269"/>
      <c r="I200" s="269"/>
      <c r="J200" s="280">
        <f t="shared" ref="J200:Y200" si="57">hundred * $H37 * J62 / $H50 * J100 / hours_in_year</f>
        <v>0.17464092900801556</v>
      </c>
      <c r="K200" s="280">
        <f t="shared" si="57"/>
        <v>0.17464092900801556</v>
      </c>
      <c r="L200" s="280">
        <f t="shared" si="57"/>
        <v>0.15127984202122208</v>
      </c>
      <c r="M200" s="280">
        <f t="shared" si="57"/>
        <v>0.15127984202122208</v>
      </c>
      <c r="N200" s="280">
        <f t="shared" si="57"/>
        <v>0.12860202172257232</v>
      </c>
      <c r="O200" s="280">
        <f t="shared" si="57"/>
        <v>0.11491118425760811</v>
      </c>
      <c r="P200" s="280">
        <f t="shared" si="57"/>
        <v>0.10357866933798661</v>
      </c>
      <c r="Q200" s="280">
        <f t="shared" si="57"/>
        <v>0.11920901808274696</v>
      </c>
      <c r="R200" s="280">
        <f t="shared" si="57"/>
        <v>-0.10546443178108217</v>
      </c>
      <c r="S200" s="280">
        <f t="shared" si="57"/>
        <v>-0.1024315956166911</v>
      </c>
      <c r="T200" s="280">
        <f t="shared" si="57"/>
        <v>-0.10546443178108217</v>
      </c>
      <c r="U200" s="280">
        <f t="shared" si="57"/>
        <v>-0.10546443178108217</v>
      </c>
      <c r="V200" s="280">
        <f t="shared" si="57"/>
        <v>-0.1024315956166911</v>
      </c>
      <c r="W200" s="280">
        <f t="shared" si="57"/>
        <v>-0.1024315956166911</v>
      </c>
      <c r="X200" s="280">
        <f t="shared" si="57"/>
        <v>0</v>
      </c>
      <c r="Y200" s="280">
        <f t="shared" si="57"/>
        <v>0</v>
      </c>
      <c r="Z200" s="269"/>
      <c r="AA200" s="269"/>
    </row>
    <row r="201" spans="3:27" x14ac:dyDescent="0.25">
      <c r="D201" s="32"/>
      <c r="E201" s="32"/>
      <c r="F201" s="191" t="s">
        <v>198</v>
      </c>
      <c r="G201" t="s">
        <v>269</v>
      </c>
      <c r="H201" s="269"/>
      <c r="I201" s="269"/>
      <c r="J201" s="280">
        <f t="shared" ref="J201:Y201" si="58">hundred * $H38 * J63 / $H51 * J101 / hours_in_year</f>
        <v>7.9942259257553411E-2</v>
      </c>
      <c r="K201" s="280">
        <f t="shared" si="58"/>
        <v>7.9942259257553411E-2</v>
      </c>
      <c r="L201" s="280">
        <f t="shared" si="58"/>
        <v>6.9248671660165018E-2</v>
      </c>
      <c r="M201" s="280">
        <f t="shared" si="58"/>
        <v>6.9248671660165018E-2</v>
      </c>
      <c r="N201" s="280">
        <f t="shared" si="58"/>
        <v>5.8867850852531454E-2</v>
      </c>
      <c r="O201" s="280">
        <f t="shared" si="58"/>
        <v>5.2600840683185872E-2</v>
      </c>
      <c r="P201" s="280">
        <f t="shared" si="58"/>
        <v>0</v>
      </c>
      <c r="Q201" s="280">
        <f t="shared" si="58"/>
        <v>5.4568183320714794E-2</v>
      </c>
      <c r="R201" s="280">
        <f t="shared" si="58"/>
        <v>-4.827656950626312E-2</v>
      </c>
      <c r="S201" s="280">
        <f t="shared" si="58"/>
        <v>0</v>
      </c>
      <c r="T201" s="280">
        <f t="shared" si="58"/>
        <v>-4.827656950626312E-2</v>
      </c>
      <c r="U201" s="280">
        <f t="shared" si="58"/>
        <v>-4.827656950626312E-2</v>
      </c>
      <c r="V201" s="280">
        <f t="shared" si="58"/>
        <v>0</v>
      </c>
      <c r="W201" s="280">
        <f t="shared" si="58"/>
        <v>0</v>
      </c>
      <c r="X201" s="280">
        <f t="shared" si="58"/>
        <v>0</v>
      </c>
      <c r="Y201" s="280">
        <f t="shared" si="58"/>
        <v>0</v>
      </c>
      <c r="Z201" s="269"/>
      <c r="AA201" s="269"/>
    </row>
    <row r="202" spans="3:27" x14ac:dyDescent="0.25">
      <c r="D202" s="32"/>
      <c r="E202" s="32"/>
      <c r="F202" s="192" t="s">
        <v>199</v>
      </c>
      <c r="G202" s="37" t="s">
        <v>269</v>
      </c>
      <c r="H202" s="273"/>
      <c r="I202" s="273"/>
      <c r="J202" s="281">
        <f t="shared" ref="J202:Y202" si="59">hundred * $H39 * J64 / $H52 * J102 / hours_in_year</f>
        <v>0.15934143808316695</v>
      </c>
      <c r="K202" s="281">
        <f t="shared" si="59"/>
        <v>0.15934143808316695</v>
      </c>
      <c r="L202" s="281">
        <f t="shared" si="59"/>
        <v>0.13802690879839211</v>
      </c>
      <c r="M202" s="281">
        <f t="shared" si="59"/>
        <v>0.13802690879839211</v>
      </c>
      <c r="N202" s="281">
        <f t="shared" si="59"/>
        <v>0.11733578834052605</v>
      </c>
      <c r="O202" s="281">
        <f t="shared" si="59"/>
        <v>0</v>
      </c>
      <c r="P202" s="281">
        <f t="shared" si="59"/>
        <v>0</v>
      </c>
      <c r="Q202" s="281">
        <f t="shared" si="59"/>
        <v>0.10876566267530183</v>
      </c>
      <c r="R202" s="281">
        <f t="shared" si="59"/>
        <v>0</v>
      </c>
      <c r="S202" s="281">
        <f t="shared" si="59"/>
        <v>0</v>
      </c>
      <c r="T202" s="281">
        <f t="shared" si="59"/>
        <v>0</v>
      </c>
      <c r="U202" s="281">
        <f t="shared" si="59"/>
        <v>0</v>
      </c>
      <c r="V202" s="281">
        <f t="shared" si="59"/>
        <v>0</v>
      </c>
      <c r="W202" s="281">
        <f t="shared" si="59"/>
        <v>0</v>
      </c>
      <c r="X202" s="281">
        <f t="shared" si="59"/>
        <v>0</v>
      </c>
      <c r="Y202" s="281">
        <f t="shared" si="59"/>
        <v>0</v>
      </c>
      <c r="Z202" s="269"/>
      <c r="AA202" s="269"/>
    </row>
    <row r="203" spans="3:27" x14ac:dyDescent="0.25">
      <c r="C203" s="32"/>
      <c r="D203" s="32"/>
      <c r="E203" s="32"/>
      <c r="J203" s="163"/>
      <c r="K203" s="163"/>
      <c r="L203" s="163"/>
      <c r="M203" s="163"/>
      <c r="N203" s="163"/>
      <c r="O203" s="163"/>
      <c r="P203" s="163"/>
      <c r="Q203" s="163"/>
      <c r="R203" s="163"/>
      <c r="S203" s="163"/>
      <c r="T203" s="163"/>
      <c r="U203" s="163"/>
      <c r="V203" s="163"/>
      <c r="W203" s="163"/>
      <c r="X203" s="163"/>
      <c r="Y203" s="163"/>
    </row>
    <row r="204" spans="3:27" x14ac:dyDescent="0.25">
      <c r="C204" s="31" t="str">
        <f ca="1">INDEX('Version control'!$H$34:$H$57,MATCH($A$1,'Version control'!$F$34:$F$57,0),1)&amp;"-E: Unit rate 3"</f>
        <v>Section 109-E: Unit rate 3</v>
      </c>
      <c r="D204" s="31"/>
      <c r="E204" s="31"/>
      <c r="F204" s="31"/>
      <c r="G204" s="31"/>
      <c r="H204" s="31"/>
      <c r="I204" s="31"/>
      <c r="J204" s="198"/>
      <c r="K204" s="198"/>
      <c r="L204" s="198"/>
      <c r="M204" s="198"/>
      <c r="N204" s="198"/>
      <c r="O204" s="198"/>
      <c r="P204" s="198"/>
      <c r="Q204" s="198"/>
      <c r="R204" s="198"/>
      <c r="S204" s="198"/>
      <c r="T204" s="198"/>
      <c r="U204" s="198"/>
      <c r="V204" s="198"/>
      <c r="W204" s="198"/>
      <c r="X204" s="198"/>
      <c r="Y204" s="198"/>
      <c r="Z204" s="31"/>
      <c r="AA204" s="31"/>
    </row>
    <row r="205" spans="3:27" x14ac:dyDescent="0.25">
      <c r="C205" s="32"/>
      <c r="D205" s="32"/>
      <c r="E205" s="32"/>
      <c r="J205" s="163"/>
      <c r="K205" s="163"/>
      <c r="L205" s="163"/>
      <c r="M205" s="163"/>
      <c r="N205" s="163"/>
      <c r="O205" s="163"/>
      <c r="P205" s="163"/>
      <c r="Q205" s="163"/>
      <c r="R205" s="163"/>
      <c r="S205" s="163"/>
      <c r="T205" s="163"/>
      <c r="U205" s="163"/>
      <c r="V205" s="163"/>
      <c r="W205" s="163"/>
      <c r="X205" s="163"/>
      <c r="Y205" s="163"/>
    </row>
    <row r="206" spans="3:27" x14ac:dyDescent="0.25">
      <c r="C206" s="29" t="s">
        <v>627</v>
      </c>
      <c r="D206" s="32"/>
      <c r="E206" s="32"/>
      <c r="I206" s="3" t="s">
        <v>154</v>
      </c>
      <c r="J206" s="163"/>
      <c r="K206" s="163"/>
      <c r="L206" s="163"/>
      <c r="M206" s="163"/>
      <c r="N206" s="163"/>
      <c r="O206" s="163"/>
      <c r="P206" s="163"/>
      <c r="Q206" s="163"/>
      <c r="R206" s="163"/>
      <c r="S206" s="163"/>
      <c r="T206" s="163"/>
      <c r="U206" s="163"/>
      <c r="V206" s="163"/>
      <c r="W206" s="163"/>
      <c r="X206" s="163"/>
      <c r="Y206" s="163"/>
      <c r="AA206" t="s">
        <v>625</v>
      </c>
    </row>
    <row r="207" spans="3:27" x14ac:dyDescent="0.25">
      <c r="C207" s="29" t="s">
        <v>628</v>
      </c>
      <c r="D207" s="32"/>
      <c r="E207" s="32"/>
      <c r="J207" s="163"/>
      <c r="K207" s="163"/>
      <c r="L207" s="163"/>
      <c r="M207" s="163"/>
      <c r="N207" s="163"/>
      <c r="O207" s="163"/>
      <c r="P207" s="163"/>
      <c r="Q207" s="163"/>
      <c r="R207" s="163"/>
      <c r="S207" s="163"/>
      <c r="T207" s="163"/>
      <c r="U207" s="163"/>
      <c r="V207" s="163"/>
      <c r="W207" s="163"/>
      <c r="X207" s="163"/>
      <c r="Y207" s="163"/>
    </row>
    <row r="208" spans="3:27" x14ac:dyDescent="0.25">
      <c r="C208" s="32"/>
      <c r="D208" s="32"/>
      <c r="E208" s="32"/>
    </row>
    <row r="209" spans="3:27" x14ac:dyDescent="0.25">
      <c r="E209" s="32" t="s">
        <v>621</v>
      </c>
      <c r="J209" s="163"/>
      <c r="K209" s="163"/>
      <c r="L209" s="163"/>
      <c r="M209" s="163"/>
      <c r="N209" s="163"/>
      <c r="O209" s="163"/>
      <c r="P209" s="163"/>
      <c r="Q209" s="163"/>
      <c r="R209" s="163"/>
      <c r="S209" s="163"/>
      <c r="T209" s="163"/>
      <c r="U209" s="163"/>
      <c r="V209" s="163"/>
      <c r="W209" s="163"/>
      <c r="X209" s="163"/>
      <c r="Y209" s="163"/>
    </row>
    <row r="210" spans="3:27" x14ac:dyDescent="0.25">
      <c r="E210" s="32"/>
      <c r="F210" s="190" t="s">
        <v>189</v>
      </c>
      <c r="G210" s="23" t="s">
        <v>269</v>
      </c>
      <c r="H210" s="267"/>
      <c r="I210" s="267"/>
      <c r="J210" s="279">
        <f t="shared" ref="J210:Y210" si="60">hundred * $H18 * J55 / $H43 * J105 * (1 - J67) / hours_in_year</f>
        <v>0</v>
      </c>
      <c r="K210" s="279">
        <f t="shared" si="60"/>
        <v>0</v>
      </c>
      <c r="L210" s="279">
        <f t="shared" si="60"/>
        <v>0</v>
      </c>
      <c r="M210" s="279">
        <f t="shared" si="60"/>
        <v>0</v>
      </c>
      <c r="N210" s="279">
        <f t="shared" si="60"/>
        <v>0</v>
      </c>
      <c r="O210" s="279">
        <f t="shared" si="60"/>
        <v>0</v>
      </c>
      <c r="P210" s="279">
        <f t="shared" si="60"/>
        <v>0</v>
      </c>
      <c r="Q210" s="279">
        <f t="shared" si="60"/>
        <v>0</v>
      </c>
      <c r="R210" s="279">
        <f t="shared" si="60"/>
        <v>0</v>
      </c>
      <c r="S210" s="279">
        <f t="shared" si="60"/>
        <v>0</v>
      </c>
      <c r="T210" s="279">
        <f t="shared" si="60"/>
        <v>0</v>
      </c>
      <c r="U210" s="279">
        <f t="shared" si="60"/>
        <v>0</v>
      </c>
      <c r="V210" s="279">
        <f t="shared" si="60"/>
        <v>0</v>
      </c>
      <c r="W210" s="279">
        <f t="shared" si="60"/>
        <v>0</v>
      </c>
      <c r="X210" s="279">
        <f t="shared" si="60"/>
        <v>0</v>
      </c>
      <c r="Y210" s="279">
        <f t="shared" si="60"/>
        <v>0</v>
      </c>
      <c r="Z210" s="269"/>
      <c r="AA210" s="269"/>
    </row>
    <row r="211" spans="3:27" x14ac:dyDescent="0.25">
      <c r="E211" s="32"/>
      <c r="F211" s="191" t="s">
        <v>191</v>
      </c>
      <c r="G211" t="s">
        <v>269</v>
      </c>
      <c r="H211" s="269"/>
      <c r="I211" s="269"/>
      <c r="J211" s="280">
        <f t="shared" ref="J211:Y211" si="61">hundred * $H19 * J56 / $H44 * J106 * (1 - J68) / hours_in_year</f>
        <v>0</v>
      </c>
      <c r="K211" s="280">
        <f t="shared" si="61"/>
        <v>0</v>
      </c>
      <c r="L211" s="280">
        <f t="shared" si="61"/>
        <v>0</v>
      </c>
      <c r="M211" s="280">
        <f t="shared" si="61"/>
        <v>0</v>
      </c>
      <c r="N211" s="280">
        <f t="shared" si="61"/>
        <v>0</v>
      </c>
      <c r="O211" s="280">
        <f t="shared" si="61"/>
        <v>0</v>
      </c>
      <c r="P211" s="280">
        <f t="shared" si="61"/>
        <v>0</v>
      </c>
      <c r="Q211" s="280">
        <f t="shared" si="61"/>
        <v>0</v>
      </c>
      <c r="R211" s="280">
        <f t="shared" si="61"/>
        <v>0</v>
      </c>
      <c r="S211" s="280">
        <f t="shared" si="61"/>
        <v>0</v>
      </c>
      <c r="T211" s="280">
        <f t="shared" si="61"/>
        <v>0</v>
      </c>
      <c r="U211" s="280">
        <f t="shared" si="61"/>
        <v>0</v>
      </c>
      <c r="V211" s="280">
        <f t="shared" si="61"/>
        <v>0</v>
      </c>
      <c r="W211" s="280">
        <f t="shared" si="61"/>
        <v>0</v>
      </c>
      <c r="X211" s="280">
        <f t="shared" si="61"/>
        <v>0</v>
      </c>
      <c r="Y211" s="280">
        <f t="shared" si="61"/>
        <v>0</v>
      </c>
      <c r="Z211" s="269"/>
      <c r="AA211" s="269"/>
    </row>
    <row r="212" spans="3:27" x14ac:dyDescent="0.25">
      <c r="E212" s="32"/>
      <c r="F212" s="191" t="s">
        <v>192</v>
      </c>
      <c r="G212" t="s">
        <v>269</v>
      </c>
      <c r="H212" s="269"/>
      <c r="I212" s="269"/>
      <c r="J212" s="280">
        <f t="shared" ref="J212:Y212" si="62">hundred * $H20 * J57 / $H45 * J107 * (1 - J69) / hours_in_year</f>
        <v>3.7483059872422146E-3</v>
      </c>
      <c r="K212" s="280">
        <f t="shared" si="62"/>
        <v>3.7483059872422146E-3</v>
      </c>
      <c r="L212" s="280">
        <f t="shared" si="62"/>
        <v>3.2469086188334304E-3</v>
      </c>
      <c r="M212" s="280">
        <f t="shared" si="62"/>
        <v>3.2469086188334304E-3</v>
      </c>
      <c r="N212" s="280">
        <f t="shared" si="62"/>
        <v>2.7601761553389748E-3</v>
      </c>
      <c r="O212" s="280">
        <f t="shared" si="62"/>
        <v>2.4663306728866341E-3</v>
      </c>
      <c r="P212" s="280">
        <f t="shared" si="62"/>
        <v>2.2231017015051356E-3</v>
      </c>
      <c r="Q212" s="280">
        <f t="shared" si="62"/>
        <v>2.876559560470488E-3</v>
      </c>
      <c r="R212" s="280">
        <f t="shared" si="62"/>
        <v>-2.2635756883083494E-3</v>
      </c>
      <c r="S212" s="280">
        <f t="shared" si="62"/>
        <v>-2.198482138830094E-3</v>
      </c>
      <c r="T212" s="280">
        <f t="shared" si="62"/>
        <v>-2.2635756883083494E-3</v>
      </c>
      <c r="U212" s="280">
        <f t="shared" si="62"/>
        <v>-2.2635756883083494E-3</v>
      </c>
      <c r="V212" s="280">
        <f t="shared" si="62"/>
        <v>-2.198482138830094E-3</v>
      </c>
      <c r="W212" s="280">
        <f t="shared" si="62"/>
        <v>-2.198482138830094E-3</v>
      </c>
      <c r="X212" s="280">
        <f t="shared" si="62"/>
        <v>-2.1753844277249074E-3</v>
      </c>
      <c r="Y212" s="280">
        <f t="shared" si="62"/>
        <v>-2.1753844277249074E-3</v>
      </c>
      <c r="Z212" s="269"/>
      <c r="AA212" s="269"/>
    </row>
    <row r="213" spans="3:27" x14ac:dyDescent="0.25">
      <c r="E213" s="32"/>
      <c r="F213" s="191" t="s">
        <v>193</v>
      </c>
      <c r="G213" t="s">
        <v>269</v>
      </c>
      <c r="H213" s="269"/>
      <c r="I213" s="269"/>
      <c r="J213" s="280">
        <f t="shared" ref="J213:Y213" si="63">hundred * $H21 * J58 / $H46 * J108 * (1 - J70) / hours_in_year</f>
        <v>1.9584549030084971E-3</v>
      </c>
      <c r="K213" s="280">
        <f t="shared" si="63"/>
        <v>1.9584549030084971E-3</v>
      </c>
      <c r="L213" s="280">
        <f t="shared" si="63"/>
        <v>1.6964794565380199E-3</v>
      </c>
      <c r="M213" s="280">
        <f t="shared" si="63"/>
        <v>1.6964794565380199E-3</v>
      </c>
      <c r="N213" s="280">
        <f t="shared" si="63"/>
        <v>1.442166286047512E-3</v>
      </c>
      <c r="O213" s="280">
        <f t="shared" si="63"/>
        <v>1.2886347633291409E-3</v>
      </c>
      <c r="P213" s="280">
        <f t="shared" si="63"/>
        <v>1.1615498953442083E-3</v>
      </c>
      <c r="Q213" s="280">
        <f t="shared" si="63"/>
        <v>1.5029755292588259E-3</v>
      </c>
      <c r="R213" s="280">
        <f t="shared" si="63"/>
        <v>-1.1826971757873867E-3</v>
      </c>
      <c r="S213" s="280">
        <f t="shared" si="63"/>
        <v>-1.1486864035708661E-3</v>
      </c>
      <c r="T213" s="280">
        <f t="shared" si="63"/>
        <v>-1.1826971757873867E-3</v>
      </c>
      <c r="U213" s="280">
        <f t="shared" si="63"/>
        <v>-1.1826971757873867E-3</v>
      </c>
      <c r="V213" s="280">
        <f t="shared" si="63"/>
        <v>-1.1486864035708661E-3</v>
      </c>
      <c r="W213" s="280">
        <f t="shared" si="63"/>
        <v>-1.1486864035708661E-3</v>
      </c>
      <c r="X213" s="280">
        <f t="shared" si="63"/>
        <v>-1.1366180650424235E-3</v>
      </c>
      <c r="Y213" s="280">
        <f t="shared" si="63"/>
        <v>-1.1366180650424235E-3</v>
      </c>
      <c r="Z213" s="269"/>
      <c r="AA213" s="269"/>
    </row>
    <row r="214" spans="3:27" x14ac:dyDescent="0.25">
      <c r="E214" s="32"/>
      <c r="F214" s="191" t="s">
        <v>194</v>
      </c>
      <c r="G214" t="s">
        <v>269</v>
      </c>
      <c r="H214" s="269"/>
      <c r="I214" s="269"/>
      <c r="J214" s="280">
        <f t="shared" ref="J214:Y214" si="64">hundred * $H22 * J59 / $H47 * J109 * (1 - J71) / hours_in_year</f>
        <v>5.089342049326818E-3</v>
      </c>
      <c r="K214" s="280">
        <f t="shared" si="64"/>
        <v>5.089342049326818E-3</v>
      </c>
      <c r="L214" s="280">
        <f t="shared" si="64"/>
        <v>4.4085591252139211E-3</v>
      </c>
      <c r="M214" s="280">
        <f t="shared" si="64"/>
        <v>4.4085591252139211E-3</v>
      </c>
      <c r="N214" s="280">
        <f t="shared" si="64"/>
        <v>3.7476877871572044E-3</v>
      </c>
      <c r="O214" s="280">
        <f t="shared" si="64"/>
        <v>3.3487128435588263E-3</v>
      </c>
      <c r="P214" s="280">
        <f t="shared" si="64"/>
        <v>2.8209955081393702E-3</v>
      </c>
      <c r="Q214" s="280">
        <f t="shared" si="64"/>
        <v>3.905709826872121E-3</v>
      </c>
      <c r="R214" s="280">
        <f t="shared" si="64"/>
        <v>-3.0734179577525376E-3</v>
      </c>
      <c r="S214" s="280">
        <f t="shared" si="64"/>
        <v>-2.9850358086891526E-3</v>
      </c>
      <c r="T214" s="280">
        <f t="shared" si="64"/>
        <v>-3.0734179577525376E-3</v>
      </c>
      <c r="U214" s="280">
        <f t="shared" si="64"/>
        <v>-3.0734179577525376E-3</v>
      </c>
      <c r="V214" s="280">
        <f t="shared" si="64"/>
        <v>-2.9850358086891526E-3</v>
      </c>
      <c r="W214" s="280">
        <f t="shared" si="64"/>
        <v>-2.9850358086891526E-3</v>
      </c>
      <c r="X214" s="280">
        <f t="shared" si="64"/>
        <v>-2.7604448752539994E-3</v>
      </c>
      <c r="Y214" s="280">
        <f t="shared" si="64"/>
        <v>-2.7604448752539994E-3</v>
      </c>
      <c r="Z214" s="269"/>
      <c r="AA214" s="269"/>
    </row>
    <row r="215" spans="3:27" x14ac:dyDescent="0.25">
      <c r="E215" s="32"/>
      <c r="F215" s="191" t="s">
        <v>195</v>
      </c>
      <c r="G215" t="s">
        <v>269</v>
      </c>
      <c r="H215" s="269"/>
      <c r="I215" s="269"/>
      <c r="J215" s="280">
        <f t="shared" ref="J215:Y215" si="65">hundred * $H23 * J60 / $H48 * J110 * (1 - J72) / hours_in_year</f>
        <v>8.1872977582028352E-3</v>
      </c>
      <c r="K215" s="280">
        <f t="shared" si="65"/>
        <v>8.1872977582028352E-3</v>
      </c>
      <c r="L215" s="280">
        <f t="shared" si="65"/>
        <v>7.0921124760209165E-3</v>
      </c>
      <c r="M215" s="280">
        <f t="shared" si="65"/>
        <v>7.0921124760209165E-3</v>
      </c>
      <c r="N215" s="280">
        <f t="shared" si="65"/>
        <v>6.0289592487293943E-3</v>
      </c>
      <c r="O215" s="280">
        <f t="shared" si="65"/>
        <v>5.3871225182360732E-3</v>
      </c>
      <c r="P215" s="280">
        <f t="shared" si="65"/>
        <v>3.1483865192726656E-3</v>
      </c>
      <c r="Q215" s="280">
        <f t="shared" si="65"/>
        <v>6.2831715769567148E-3</v>
      </c>
      <c r="R215" s="280">
        <f t="shared" si="65"/>
        <v>-4.9442516756868548E-3</v>
      </c>
      <c r="S215" s="280">
        <f t="shared" si="65"/>
        <v>-4.8020700412283257E-3</v>
      </c>
      <c r="T215" s="280">
        <f t="shared" si="65"/>
        <v>-4.9442516756868548E-3</v>
      </c>
      <c r="U215" s="280">
        <f t="shared" si="65"/>
        <v>-4.9442516756868548E-3</v>
      </c>
      <c r="V215" s="280">
        <f t="shared" si="65"/>
        <v>-4.8020700412283257E-3</v>
      </c>
      <c r="W215" s="280">
        <f t="shared" si="65"/>
        <v>-4.8020700412283257E-3</v>
      </c>
      <c r="X215" s="280">
        <f t="shared" si="65"/>
        <v>-3.080808674586388E-3</v>
      </c>
      <c r="Y215" s="280">
        <f t="shared" si="65"/>
        <v>-3.080808674586388E-3</v>
      </c>
      <c r="Z215" s="269"/>
      <c r="AA215" s="269"/>
    </row>
    <row r="216" spans="3:27" x14ac:dyDescent="0.25">
      <c r="E216" s="32"/>
      <c r="F216" s="191" t="s">
        <v>196</v>
      </c>
      <c r="G216" t="s">
        <v>269</v>
      </c>
      <c r="H216" s="269"/>
      <c r="I216" s="269"/>
      <c r="J216" s="280">
        <f t="shared" ref="J216:Y216" si="66">hundred * $H24 * J61 / $H49 * J111 * (1 - J73) / hours_in_year</f>
        <v>3.2774487969919775E-4</v>
      </c>
      <c r="K216" s="280">
        <f t="shared" si="66"/>
        <v>3.2774487969919775E-4</v>
      </c>
      <c r="L216" s="280">
        <f t="shared" si="66"/>
        <v>2.8390362961183864E-4</v>
      </c>
      <c r="M216" s="280">
        <f t="shared" si="66"/>
        <v>2.8390362961183864E-4</v>
      </c>
      <c r="N216" s="280">
        <f t="shared" si="66"/>
        <v>2.4134465143966092E-4</v>
      </c>
      <c r="O216" s="280">
        <f t="shared" si="66"/>
        <v>2.1565135088621491E-4</v>
      </c>
      <c r="P216" s="280">
        <f t="shared" si="66"/>
        <v>1.2603273894268343E-4</v>
      </c>
      <c r="Q216" s="280">
        <f t="shared" si="66"/>
        <v>2.5152099916677772E-4</v>
      </c>
      <c r="R216" s="280">
        <f t="shared" si="66"/>
        <v>-1.9792283345588797E-4</v>
      </c>
      <c r="S216" s="280">
        <f t="shared" si="66"/>
        <v>-1.9223117497988373E-4</v>
      </c>
      <c r="T216" s="280">
        <f t="shared" si="66"/>
        <v>-1.9792283345588797E-4</v>
      </c>
      <c r="U216" s="280">
        <f t="shared" si="66"/>
        <v>-1.9792283345588797E-4</v>
      </c>
      <c r="V216" s="280">
        <f t="shared" si="66"/>
        <v>-1.9223117497988373E-4</v>
      </c>
      <c r="W216" s="280">
        <f t="shared" si="66"/>
        <v>-1.9223117497988373E-4</v>
      </c>
      <c r="X216" s="280">
        <f t="shared" si="66"/>
        <v>-1.2332753714947337E-4</v>
      </c>
      <c r="Y216" s="280">
        <f t="shared" si="66"/>
        <v>-1.2332753714947337E-4</v>
      </c>
      <c r="Z216" s="269"/>
      <c r="AA216" s="269"/>
    </row>
    <row r="217" spans="3:27" x14ac:dyDescent="0.25">
      <c r="E217" s="32"/>
      <c r="F217" s="191" t="s">
        <v>197</v>
      </c>
      <c r="G217" t="s">
        <v>269</v>
      </c>
      <c r="H217" s="269"/>
      <c r="I217" s="269"/>
      <c r="J217" s="280">
        <f t="shared" ref="J217:Y217" si="67">hundred * $H25 * J62 / $H50 * J112 * (1 - J74) / hours_in_year</f>
        <v>9.8246524697545613E-3</v>
      </c>
      <c r="K217" s="280">
        <f t="shared" si="67"/>
        <v>9.8246524697545613E-3</v>
      </c>
      <c r="L217" s="280">
        <f t="shared" si="67"/>
        <v>8.5104441552166909E-3</v>
      </c>
      <c r="M217" s="280">
        <f t="shared" si="67"/>
        <v>8.5104441552166909E-3</v>
      </c>
      <c r="N217" s="280">
        <f t="shared" si="67"/>
        <v>7.2346738963700204E-3</v>
      </c>
      <c r="O217" s="280">
        <f t="shared" si="67"/>
        <v>6.4644780386338583E-3</v>
      </c>
      <c r="P217" s="280">
        <f t="shared" si="67"/>
        <v>4.0515063718566191E-3</v>
      </c>
      <c r="Q217" s="280">
        <f t="shared" si="67"/>
        <v>7.5397254349998848E-3</v>
      </c>
      <c r="R217" s="280">
        <f t="shared" si="67"/>
        <v>-5.9330386986301119E-3</v>
      </c>
      <c r="S217" s="280">
        <f t="shared" si="67"/>
        <v>-5.7624225579459426E-3</v>
      </c>
      <c r="T217" s="280">
        <f t="shared" si="67"/>
        <v>-5.9330386986301119E-3</v>
      </c>
      <c r="U217" s="280">
        <f t="shared" si="67"/>
        <v>-5.9330386986301119E-3</v>
      </c>
      <c r="V217" s="280">
        <f t="shared" si="67"/>
        <v>-5.7624225579459426E-3</v>
      </c>
      <c r="W217" s="280">
        <f t="shared" si="67"/>
        <v>-5.7624225579459426E-3</v>
      </c>
      <c r="X217" s="280">
        <f t="shared" si="67"/>
        <v>0</v>
      </c>
      <c r="Y217" s="280">
        <f t="shared" si="67"/>
        <v>0</v>
      </c>
      <c r="Z217" s="269"/>
      <c r="AA217" s="269"/>
    </row>
    <row r="218" spans="3:27" x14ac:dyDescent="0.25">
      <c r="E218" s="32"/>
      <c r="F218" s="191" t="s">
        <v>198</v>
      </c>
      <c r="G218" t="s">
        <v>269</v>
      </c>
      <c r="H218" s="269"/>
      <c r="I218" s="269"/>
      <c r="J218" s="280">
        <f t="shared" ref="J218:Y218" si="68">hundred * $H26 * J63 / $H51 * J113 * (1 - J75) / hours_in_year</f>
        <v>2.5132043322888425E-3</v>
      </c>
      <c r="K218" s="280">
        <f t="shared" si="68"/>
        <v>2.5132043322888425E-3</v>
      </c>
      <c r="L218" s="280">
        <f t="shared" si="68"/>
        <v>2.1770220561427322E-3</v>
      </c>
      <c r="M218" s="280">
        <f t="shared" si="68"/>
        <v>2.1770220561427322E-3</v>
      </c>
      <c r="N218" s="280">
        <f t="shared" si="68"/>
        <v>1.8506724624640447E-3</v>
      </c>
      <c r="O218" s="280">
        <f t="shared" si="68"/>
        <v>1.6536517971191466E-3</v>
      </c>
      <c r="P218" s="280">
        <f t="shared" si="68"/>
        <v>0</v>
      </c>
      <c r="Q218" s="280">
        <f t="shared" si="68"/>
        <v>1.9287064540801477E-3</v>
      </c>
      <c r="R218" s="280">
        <f t="shared" si="68"/>
        <v>-1.5177064641154739E-3</v>
      </c>
      <c r="S218" s="280">
        <f t="shared" si="68"/>
        <v>0</v>
      </c>
      <c r="T218" s="280">
        <f t="shared" si="68"/>
        <v>-1.5177064641154739E-3</v>
      </c>
      <c r="U218" s="280">
        <f t="shared" si="68"/>
        <v>-1.5177064641154739E-3</v>
      </c>
      <c r="V218" s="280">
        <f t="shared" si="68"/>
        <v>0</v>
      </c>
      <c r="W218" s="280">
        <f t="shared" si="68"/>
        <v>0</v>
      </c>
      <c r="X218" s="280">
        <f t="shared" si="68"/>
        <v>0</v>
      </c>
      <c r="Y218" s="280">
        <f t="shared" si="68"/>
        <v>0</v>
      </c>
      <c r="Z218" s="269"/>
      <c r="AA218" s="269"/>
    </row>
    <row r="219" spans="3:27" x14ac:dyDescent="0.25">
      <c r="E219" s="32"/>
      <c r="F219" s="192" t="s">
        <v>199</v>
      </c>
      <c r="G219" s="37" t="s">
        <v>269</v>
      </c>
      <c r="H219" s="273"/>
      <c r="I219" s="273"/>
      <c r="J219" s="281">
        <f t="shared" ref="J219:Y219" si="69">hundred * $H27 * J64 / $H52 * J114 * (1 - J76) / hours_in_year</f>
        <v>1.0547111606698707E-3</v>
      </c>
      <c r="K219" s="281">
        <f t="shared" si="69"/>
        <v>1.0547111606698707E-3</v>
      </c>
      <c r="L219" s="281">
        <f t="shared" si="69"/>
        <v>9.1362625399704872E-4</v>
      </c>
      <c r="M219" s="281">
        <f t="shared" si="69"/>
        <v>9.1362625399704872E-4</v>
      </c>
      <c r="N219" s="281">
        <f t="shared" si="69"/>
        <v>7.7666780843384535E-4</v>
      </c>
      <c r="O219" s="281">
        <f t="shared" si="69"/>
        <v>0</v>
      </c>
      <c r="P219" s="281">
        <f t="shared" si="69"/>
        <v>0</v>
      </c>
      <c r="Q219" s="281">
        <f t="shared" si="69"/>
        <v>8.0941616908710215E-4</v>
      </c>
      <c r="R219" s="281">
        <f t="shared" si="69"/>
        <v>0</v>
      </c>
      <c r="S219" s="281">
        <f t="shared" si="69"/>
        <v>0</v>
      </c>
      <c r="T219" s="281">
        <f t="shared" si="69"/>
        <v>0</v>
      </c>
      <c r="U219" s="281">
        <f t="shared" si="69"/>
        <v>0</v>
      </c>
      <c r="V219" s="281">
        <f t="shared" si="69"/>
        <v>0</v>
      </c>
      <c r="W219" s="281">
        <f t="shared" si="69"/>
        <v>0</v>
      </c>
      <c r="X219" s="281">
        <f t="shared" si="69"/>
        <v>0</v>
      </c>
      <c r="Y219" s="281">
        <f t="shared" si="69"/>
        <v>0</v>
      </c>
      <c r="Z219" s="269"/>
      <c r="AA219" s="269"/>
    </row>
    <row r="220" spans="3:27" x14ac:dyDescent="0.25">
      <c r="E220" s="32"/>
      <c r="F220" s="191"/>
      <c r="J220" s="163"/>
      <c r="K220" s="163"/>
      <c r="L220" s="163"/>
      <c r="M220" s="163"/>
      <c r="N220" s="163"/>
      <c r="O220" s="163"/>
      <c r="P220" s="163"/>
      <c r="Q220" s="163"/>
      <c r="R220" s="163"/>
      <c r="S220" s="163"/>
      <c r="T220" s="163"/>
      <c r="U220" s="163"/>
      <c r="V220" s="163"/>
      <c r="W220" s="163"/>
      <c r="X220" s="163"/>
      <c r="Y220" s="163"/>
    </row>
    <row r="221" spans="3:27" x14ac:dyDescent="0.25">
      <c r="E221" s="32" t="s">
        <v>622</v>
      </c>
      <c r="J221" s="163"/>
      <c r="K221" s="163"/>
      <c r="L221" s="163"/>
      <c r="M221" s="163"/>
      <c r="N221" s="163"/>
      <c r="O221" s="163"/>
      <c r="P221" s="163"/>
      <c r="Q221" s="163"/>
      <c r="R221" s="163"/>
      <c r="S221" s="163"/>
      <c r="T221" s="163"/>
      <c r="U221" s="163"/>
      <c r="V221" s="163"/>
      <c r="W221" s="163"/>
      <c r="X221" s="163"/>
      <c r="Y221" s="163"/>
    </row>
    <row r="222" spans="3:27" x14ac:dyDescent="0.25">
      <c r="C222" s="32"/>
      <c r="E222" s="32"/>
      <c r="F222" s="190" t="s">
        <v>189</v>
      </c>
      <c r="G222" s="23" t="s">
        <v>269</v>
      </c>
      <c r="H222" s="267"/>
      <c r="I222" s="267"/>
      <c r="J222" s="279">
        <f t="shared" ref="J222:Y222" si="70">hundred * $H30 * J55 / $H43 * J105 / hours_in_year</f>
        <v>0</v>
      </c>
      <c r="K222" s="279">
        <f t="shared" si="70"/>
        <v>0</v>
      </c>
      <c r="L222" s="279">
        <f t="shared" si="70"/>
        <v>0</v>
      </c>
      <c r="M222" s="279">
        <f t="shared" si="70"/>
        <v>0</v>
      </c>
      <c r="N222" s="279">
        <f t="shared" si="70"/>
        <v>0</v>
      </c>
      <c r="O222" s="279">
        <f t="shared" si="70"/>
        <v>0</v>
      </c>
      <c r="P222" s="279">
        <f t="shared" si="70"/>
        <v>0</v>
      </c>
      <c r="Q222" s="279">
        <f t="shared" si="70"/>
        <v>0</v>
      </c>
      <c r="R222" s="279">
        <f t="shared" si="70"/>
        <v>0</v>
      </c>
      <c r="S222" s="279">
        <f t="shared" si="70"/>
        <v>0</v>
      </c>
      <c r="T222" s="279">
        <f t="shared" si="70"/>
        <v>0</v>
      </c>
      <c r="U222" s="279">
        <f t="shared" si="70"/>
        <v>0</v>
      </c>
      <c r="V222" s="279">
        <f t="shared" si="70"/>
        <v>0</v>
      </c>
      <c r="W222" s="279">
        <f t="shared" si="70"/>
        <v>0</v>
      </c>
      <c r="X222" s="279">
        <f t="shared" si="70"/>
        <v>0</v>
      </c>
      <c r="Y222" s="279">
        <f t="shared" si="70"/>
        <v>0</v>
      </c>
      <c r="Z222" s="269"/>
      <c r="AA222" s="269"/>
    </row>
    <row r="223" spans="3:27" x14ac:dyDescent="0.25">
      <c r="C223" s="32"/>
      <c r="E223" s="32"/>
      <c r="F223" s="191" t="s">
        <v>191</v>
      </c>
      <c r="G223" t="s">
        <v>269</v>
      </c>
      <c r="H223" s="269"/>
      <c r="I223" s="269"/>
      <c r="J223" s="280">
        <f t="shared" ref="J223:Y223" si="71">hundred * $H31 * J56 / $H44 * J106 / hours_in_year</f>
        <v>0</v>
      </c>
      <c r="K223" s="280">
        <f t="shared" si="71"/>
        <v>0</v>
      </c>
      <c r="L223" s="280">
        <f t="shared" si="71"/>
        <v>0</v>
      </c>
      <c r="M223" s="280">
        <f t="shared" si="71"/>
        <v>0</v>
      </c>
      <c r="N223" s="280">
        <f t="shared" si="71"/>
        <v>0</v>
      </c>
      <c r="O223" s="280">
        <f t="shared" si="71"/>
        <v>0</v>
      </c>
      <c r="P223" s="280">
        <f t="shared" si="71"/>
        <v>0</v>
      </c>
      <c r="Q223" s="280">
        <f t="shared" si="71"/>
        <v>0</v>
      </c>
      <c r="R223" s="280">
        <f t="shared" si="71"/>
        <v>0</v>
      </c>
      <c r="S223" s="280">
        <f t="shared" si="71"/>
        <v>0</v>
      </c>
      <c r="T223" s="280">
        <f t="shared" si="71"/>
        <v>0</v>
      </c>
      <c r="U223" s="280">
        <f t="shared" si="71"/>
        <v>0</v>
      </c>
      <c r="V223" s="280">
        <f t="shared" si="71"/>
        <v>0</v>
      </c>
      <c r="W223" s="280">
        <f t="shared" si="71"/>
        <v>0</v>
      </c>
      <c r="X223" s="280">
        <f t="shared" si="71"/>
        <v>0</v>
      </c>
      <c r="Y223" s="280">
        <f t="shared" si="71"/>
        <v>0</v>
      </c>
      <c r="Z223" s="269"/>
      <c r="AA223" s="269"/>
    </row>
    <row r="224" spans="3:27" x14ac:dyDescent="0.25">
      <c r="C224" s="32"/>
      <c r="E224" s="32"/>
      <c r="F224" s="191" t="s">
        <v>192</v>
      </c>
      <c r="G224" t="s">
        <v>269</v>
      </c>
      <c r="H224" s="269"/>
      <c r="I224" s="269"/>
      <c r="J224" s="280">
        <f t="shared" ref="J224:Y224" si="72">hundred * $H32 * J57 / $H45 * J107 / hours_in_year</f>
        <v>2.3798041246988885E-3</v>
      </c>
      <c r="K224" s="280">
        <f t="shared" si="72"/>
        <v>2.3798041246988885E-3</v>
      </c>
      <c r="L224" s="280">
        <f t="shared" si="72"/>
        <v>2.0614663130277813E-3</v>
      </c>
      <c r="M224" s="280">
        <f t="shared" si="72"/>
        <v>2.0614663130277813E-3</v>
      </c>
      <c r="N224" s="280">
        <f t="shared" si="72"/>
        <v>1.7524392676927804E-3</v>
      </c>
      <c r="O224" s="280">
        <f t="shared" si="72"/>
        <v>1.5658764060842711E-3</v>
      </c>
      <c r="P224" s="280">
        <f t="shared" si="72"/>
        <v>1.4114500301933761E-3</v>
      </c>
      <c r="Q224" s="280">
        <f t="shared" si="72"/>
        <v>1.8263312360969541E-3</v>
      </c>
      <c r="R224" s="280">
        <f t="shared" si="72"/>
        <v>-1.4371470146618624E-3</v>
      </c>
      <c r="S224" s="280">
        <f t="shared" si="72"/>
        <v>-1.3958190392866139E-3</v>
      </c>
      <c r="T224" s="280">
        <f t="shared" si="72"/>
        <v>-1.4371470146618624E-3</v>
      </c>
      <c r="U224" s="280">
        <f t="shared" si="72"/>
        <v>-1.4371470146618624E-3</v>
      </c>
      <c r="V224" s="280">
        <f t="shared" si="72"/>
        <v>-1.3958190392866139E-3</v>
      </c>
      <c r="W224" s="280">
        <f t="shared" si="72"/>
        <v>-1.3958190392866139E-3</v>
      </c>
      <c r="X224" s="280">
        <f t="shared" si="72"/>
        <v>-1.3811542738308808E-3</v>
      </c>
      <c r="Y224" s="280">
        <f t="shared" si="72"/>
        <v>-1.3811542738308808E-3</v>
      </c>
      <c r="Z224" s="269"/>
      <c r="AA224" s="269"/>
    </row>
    <row r="225" spans="2:27" x14ac:dyDescent="0.25">
      <c r="C225" s="32"/>
      <c r="E225" s="32"/>
      <c r="F225" s="191" t="s">
        <v>193</v>
      </c>
      <c r="G225" t="s">
        <v>269</v>
      </c>
      <c r="H225" s="269"/>
      <c r="I225" s="269"/>
      <c r="J225" s="280">
        <f t="shared" ref="J225:Y225" si="73">hundred * $H33 * J58 / $H46 * J108 / hours_in_year</f>
        <v>1.2434254492775495E-3</v>
      </c>
      <c r="K225" s="280">
        <f t="shared" si="73"/>
        <v>1.2434254492775495E-3</v>
      </c>
      <c r="L225" s="280">
        <f t="shared" si="73"/>
        <v>1.0770969130795289E-3</v>
      </c>
      <c r="M225" s="280">
        <f t="shared" si="73"/>
        <v>1.0770969130795289E-3</v>
      </c>
      <c r="N225" s="280">
        <f t="shared" si="73"/>
        <v>9.1563316541365479E-4</v>
      </c>
      <c r="O225" s="280">
        <f t="shared" si="73"/>
        <v>8.1815581103541709E-4</v>
      </c>
      <c r="P225" s="280">
        <f t="shared" si="73"/>
        <v>7.3746947058009251E-4</v>
      </c>
      <c r="Q225" s="280">
        <f t="shared" si="73"/>
        <v>9.542410294211968E-4</v>
      </c>
      <c r="R225" s="280">
        <f t="shared" si="73"/>
        <v>-7.508959051871208E-4</v>
      </c>
      <c r="S225" s="280">
        <f t="shared" si="73"/>
        <v>-7.2930242368359508E-4</v>
      </c>
      <c r="T225" s="280">
        <f t="shared" si="73"/>
        <v>-7.508959051871208E-4</v>
      </c>
      <c r="U225" s="280">
        <f t="shared" si="73"/>
        <v>-7.508959051871208E-4</v>
      </c>
      <c r="V225" s="280">
        <f t="shared" si="73"/>
        <v>-7.2930242368359508E-4</v>
      </c>
      <c r="W225" s="280">
        <f t="shared" si="73"/>
        <v>-7.2930242368359508E-4</v>
      </c>
      <c r="X225" s="280">
        <f t="shared" si="73"/>
        <v>-7.2164022056944071E-4</v>
      </c>
      <c r="Y225" s="280">
        <f t="shared" si="73"/>
        <v>-7.2164022056944071E-4</v>
      </c>
      <c r="Z225" s="269"/>
      <c r="AA225" s="269"/>
    </row>
    <row r="226" spans="2:27" x14ac:dyDescent="0.25">
      <c r="C226" s="32"/>
      <c r="E226" s="32"/>
      <c r="F226" s="191" t="s">
        <v>194</v>
      </c>
      <c r="G226" t="s">
        <v>269</v>
      </c>
      <c r="H226" s="269"/>
      <c r="I226" s="269"/>
      <c r="J226" s="280">
        <f t="shared" ref="J226:Y226" si="74">hundred * $H34 * J59 / $H47 * J109 / hours_in_year</f>
        <v>3.2312295853686398E-3</v>
      </c>
      <c r="K226" s="280">
        <f t="shared" si="74"/>
        <v>3.2312295853686398E-3</v>
      </c>
      <c r="L226" s="280">
        <f t="shared" si="74"/>
        <v>2.7989996616797149E-3</v>
      </c>
      <c r="M226" s="280">
        <f t="shared" si="74"/>
        <v>2.7989996616797149E-3</v>
      </c>
      <c r="N226" s="280">
        <f t="shared" si="74"/>
        <v>2.3794116286974393E-3</v>
      </c>
      <c r="O226" s="280">
        <f t="shared" si="74"/>
        <v>2.1261019416925378E-3</v>
      </c>
      <c r="P226" s="280">
        <f t="shared" si="74"/>
        <v>1.9164262505878948E-3</v>
      </c>
      <c r="Q226" s="280">
        <f t="shared" si="74"/>
        <v>2.4797400178916138E-3</v>
      </c>
      <c r="R226" s="280">
        <f t="shared" si="74"/>
        <v>-1.9513168769245634E-3</v>
      </c>
      <c r="S226" s="280">
        <f t="shared" si="74"/>
        <v>-1.8952029407606843E-3</v>
      </c>
      <c r="T226" s="280">
        <f t="shared" si="74"/>
        <v>-1.9513168769245634E-3</v>
      </c>
      <c r="U226" s="280">
        <f t="shared" si="74"/>
        <v>-1.9513168769245634E-3</v>
      </c>
      <c r="V226" s="280">
        <f t="shared" si="74"/>
        <v>-1.8952029407606843E-3</v>
      </c>
      <c r="W226" s="280">
        <f t="shared" si="74"/>
        <v>-1.8952029407606843E-3</v>
      </c>
      <c r="X226" s="280">
        <f t="shared" si="74"/>
        <v>-1.8752915440573724E-3</v>
      </c>
      <c r="Y226" s="280">
        <f t="shared" si="74"/>
        <v>-1.8752915440573724E-3</v>
      </c>
      <c r="Z226" s="269"/>
      <c r="AA226" s="269"/>
    </row>
    <row r="227" spans="2:27" x14ac:dyDescent="0.25">
      <c r="C227" s="32"/>
      <c r="E227" s="32"/>
      <c r="F227" s="191" t="s">
        <v>195</v>
      </c>
      <c r="G227" t="s">
        <v>269</v>
      </c>
      <c r="H227" s="269"/>
      <c r="I227" s="269"/>
      <c r="J227" s="280">
        <f t="shared" ref="J227:Y227" si="75">hundred * $H35 * J60 / $H48 * J110 / hours_in_year</f>
        <v>5.1981255109443143E-3</v>
      </c>
      <c r="K227" s="280">
        <f t="shared" si="75"/>
        <v>5.1981255109443143E-3</v>
      </c>
      <c r="L227" s="280">
        <f t="shared" si="75"/>
        <v>4.5027910156504461E-3</v>
      </c>
      <c r="M227" s="280">
        <f t="shared" si="75"/>
        <v>4.5027910156504461E-3</v>
      </c>
      <c r="N227" s="280">
        <f t="shared" si="75"/>
        <v>3.8277937117732362E-3</v>
      </c>
      <c r="O227" s="280">
        <f t="shared" si="75"/>
        <v>3.4202907747638007E-3</v>
      </c>
      <c r="P227" s="280">
        <f t="shared" si="75"/>
        <v>3.082982474576404E-3</v>
      </c>
      <c r="Q227" s="280">
        <f t="shared" si="75"/>
        <v>3.9891934345610202E-3</v>
      </c>
      <c r="R227" s="280">
        <f t="shared" si="75"/>
        <v>-3.1391115270196926E-3</v>
      </c>
      <c r="S227" s="280">
        <f t="shared" si="75"/>
        <v>-3.0488402307881422E-3</v>
      </c>
      <c r="T227" s="280">
        <f t="shared" si="75"/>
        <v>-3.1391115270196926E-3</v>
      </c>
      <c r="U227" s="280">
        <f t="shared" si="75"/>
        <v>-3.1391115270196926E-3</v>
      </c>
      <c r="V227" s="280">
        <f t="shared" si="75"/>
        <v>-3.0488402307881422E-3</v>
      </c>
      <c r="W227" s="280">
        <f t="shared" si="75"/>
        <v>-3.0488402307881422E-3</v>
      </c>
      <c r="X227" s="280">
        <f t="shared" si="75"/>
        <v>-3.0168084805124312E-3</v>
      </c>
      <c r="Y227" s="280">
        <f t="shared" si="75"/>
        <v>-3.0168084805124312E-3</v>
      </c>
      <c r="Z227" s="269"/>
      <c r="AA227" s="269"/>
    </row>
    <row r="228" spans="2:27" x14ac:dyDescent="0.25">
      <c r="C228" s="32"/>
      <c r="E228" s="32"/>
      <c r="F228" s="191" t="s">
        <v>196</v>
      </c>
      <c r="G228" t="s">
        <v>269</v>
      </c>
      <c r="H228" s="269"/>
      <c r="I228" s="269"/>
      <c r="J228" s="280">
        <f t="shared" ref="J228:Y228" si="76">hundred * $H36 * J61 / $H49 * J111 / hours_in_year</f>
        <v>2.0808563100552704E-4</v>
      </c>
      <c r="K228" s="280">
        <f t="shared" si="76"/>
        <v>2.0808563100552704E-4</v>
      </c>
      <c r="L228" s="280">
        <f t="shared" si="76"/>
        <v>1.8025076689759029E-4</v>
      </c>
      <c r="M228" s="280">
        <f t="shared" si="76"/>
        <v>1.8025076689759029E-4</v>
      </c>
      <c r="N228" s="280">
        <f t="shared" si="76"/>
        <v>1.5323001882050074E-4</v>
      </c>
      <c r="O228" s="280">
        <f t="shared" si="76"/>
        <v>1.3691731040172889E-4</v>
      </c>
      <c r="P228" s="280">
        <f t="shared" si="76"/>
        <v>1.2341455631468005E-4</v>
      </c>
      <c r="Q228" s="280">
        <f t="shared" si="76"/>
        <v>1.5969099462604877E-4</v>
      </c>
      <c r="R228" s="280">
        <f t="shared" si="76"/>
        <v>-1.2566145267584207E-4</v>
      </c>
      <c r="S228" s="280">
        <f t="shared" si="76"/>
        <v>-1.2204781164341984E-4</v>
      </c>
      <c r="T228" s="280">
        <f t="shared" si="76"/>
        <v>-1.2566145267584207E-4</v>
      </c>
      <c r="U228" s="280">
        <f t="shared" si="76"/>
        <v>-1.2566145267584207E-4</v>
      </c>
      <c r="V228" s="280">
        <f t="shared" si="76"/>
        <v>-1.2204781164341984E-4</v>
      </c>
      <c r="W228" s="280">
        <f t="shared" si="76"/>
        <v>-1.2204781164341984E-4</v>
      </c>
      <c r="X228" s="280">
        <f t="shared" si="76"/>
        <v>-1.207655519222378E-4</v>
      </c>
      <c r="Y228" s="280">
        <f t="shared" si="76"/>
        <v>-1.207655519222378E-4</v>
      </c>
      <c r="Z228" s="269"/>
      <c r="AA228" s="269"/>
    </row>
    <row r="229" spans="2:27" x14ac:dyDescent="0.25">
      <c r="C229" s="32"/>
      <c r="E229" s="32"/>
      <c r="F229" s="191" t="s">
        <v>197</v>
      </c>
      <c r="G229" t="s">
        <v>269</v>
      </c>
      <c r="H229" s="269"/>
      <c r="I229" s="269"/>
      <c r="J229" s="280">
        <f t="shared" ref="J229:Y229" si="77">hundred * $H37 * J62 / $H50 * J112 / hours_in_year</f>
        <v>1.1975591206653358E-2</v>
      </c>
      <c r="K229" s="280">
        <f t="shared" si="77"/>
        <v>1.1975591206653358E-2</v>
      </c>
      <c r="L229" s="280">
        <f t="shared" si="77"/>
        <v>1.0373659577647489E-2</v>
      </c>
      <c r="M229" s="280">
        <f t="shared" si="77"/>
        <v>1.0373659577647489E-2</v>
      </c>
      <c r="N229" s="280">
        <f t="shared" si="77"/>
        <v>8.818581355737036E-3</v>
      </c>
      <c r="O229" s="280">
        <f t="shared" si="77"/>
        <v>7.8797643574054447E-3</v>
      </c>
      <c r="P229" s="280">
        <f t="shared" si="77"/>
        <v>7.1026637842948985E-3</v>
      </c>
      <c r="Q229" s="280">
        <f t="shared" si="77"/>
        <v>9.1904186838092754E-3</v>
      </c>
      <c r="R229" s="280">
        <f t="shared" si="77"/>
        <v>-7.2319755112746336E-3</v>
      </c>
      <c r="S229" s="280">
        <f t="shared" si="77"/>
        <v>-7.024005900096976E-3</v>
      </c>
      <c r="T229" s="280">
        <f t="shared" si="77"/>
        <v>-7.2319755112746336E-3</v>
      </c>
      <c r="U229" s="280">
        <f t="shared" si="77"/>
        <v>-7.2319755112746336E-3</v>
      </c>
      <c r="V229" s="280">
        <f t="shared" si="77"/>
        <v>-7.024005900096976E-3</v>
      </c>
      <c r="W229" s="280">
        <f t="shared" si="77"/>
        <v>-7.024005900096976E-3</v>
      </c>
      <c r="X229" s="280">
        <f t="shared" si="77"/>
        <v>0</v>
      </c>
      <c r="Y229" s="280">
        <f t="shared" si="77"/>
        <v>0</v>
      </c>
      <c r="Z229" s="269"/>
      <c r="AA229" s="269"/>
    </row>
    <row r="230" spans="2:27" x14ac:dyDescent="0.25">
      <c r="C230" s="32"/>
      <c r="E230" s="32"/>
      <c r="F230" s="191" t="s">
        <v>198</v>
      </c>
      <c r="G230" t="s">
        <v>269</v>
      </c>
      <c r="H230" s="269"/>
      <c r="I230" s="269"/>
      <c r="J230" s="280">
        <f t="shared" ref="J230:Y230" si="78">hundred * $H38 * J63 / $H51 * J113 / hours_in_year</f>
        <v>5.4818525212999725E-3</v>
      </c>
      <c r="K230" s="280">
        <f t="shared" si="78"/>
        <v>5.4818525212999725E-3</v>
      </c>
      <c r="L230" s="280">
        <f t="shared" si="78"/>
        <v>4.7485648874888613E-3</v>
      </c>
      <c r="M230" s="280">
        <f t="shared" si="78"/>
        <v>4.7485648874888613E-3</v>
      </c>
      <c r="N230" s="280">
        <f t="shared" si="78"/>
        <v>4.0367245011150871E-3</v>
      </c>
      <c r="O230" s="280">
        <f t="shared" si="78"/>
        <v>3.6069790095952991E-3</v>
      </c>
      <c r="P230" s="280">
        <f t="shared" si="78"/>
        <v>0</v>
      </c>
      <c r="Q230" s="280">
        <f t="shared" si="78"/>
        <v>4.2069338343523307E-3</v>
      </c>
      <c r="R230" s="280">
        <f t="shared" si="78"/>
        <v>-3.3104522779998443E-3</v>
      </c>
      <c r="S230" s="280">
        <f t="shared" si="78"/>
        <v>0</v>
      </c>
      <c r="T230" s="280">
        <f t="shared" si="78"/>
        <v>-3.3104522779998443E-3</v>
      </c>
      <c r="U230" s="280">
        <f t="shared" si="78"/>
        <v>-3.3104522779998443E-3</v>
      </c>
      <c r="V230" s="280">
        <f t="shared" si="78"/>
        <v>0</v>
      </c>
      <c r="W230" s="280">
        <f t="shared" si="78"/>
        <v>0</v>
      </c>
      <c r="X230" s="280">
        <f t="shared" si="78"/>
        <v>0</v>
      </c>
      <c r="Y230" s="280">
        <f t="shared" si="78"/>
        <v>0</v>
      </c>
      <c r="Z230" s="269"/>
      <c r="AA230" s="269"/>
    </row>
    <row r="231" spans="2:27" x14ac:dyDescent="0.25">
      <c r="C231" s="32"/>
      <c r="E231" s="32"/>
      <c r="F231" s="192" t="s">
        <v>199</v>
      </c>
      <c r="G231" s="37" t="s">
        <v>269</v>
      </c>
      <c r="H231" s="273"/>
      <c r="I231" s="273"/>
      <c r="J231" s="281">
        <f t="shared" ref="J231:Y231" si="79">hundred * $H39 * J64 / $H52 * J114 / hours_in_year</f>
        <v>1.0926464578510648E-2</v>
      </c>
      <c r="K231" s="281">
        <f t="shared" si="79"/>
        <v>1.0926464578510648E-2</v>
      </c>
      <c r="L231" s="281">
        <f t="shared" si="79"/>
        <v>9.4648708334098639E-3</v>
      </c>
      <c r="M231" s="281">
        <f t="shared" si="79"/>
        <v>9.4648708334098639E-3</v>
      </c>
      <c r="N231" s="281">
        <f t="shared" si="79"/>
        <v>8.0460258832684636E-3</v>
      </c>
      <c r="O231" s="281">
        <f t="shared" si="79"/>
        <v>0</v>
      </c>
      <c r="P231" s="281">
        <f t="shared" si="79"/>
        <v>0</v>
      </c>
      <c r="Q231" s="281">
        <f t="shared" si="79"/>
        <v>8.3852882481938902E-3</v>
      </c>
      <c r="R231" s="281">
        <f t="shared" si="79"/>
        <v>0</v>
      </c>
      <c r="S231" s="281">
        <f t="shared" si="79"/>
        <v>0</v>
      </c>
      <c r="T231" s="281">
        <f t="shared" si="79"/>
        <v>0</v>
      </c>
      <c r="U231" s="281">
        <f t="shared" si="79"/>
        <v>0</v>
      </c>
      <c r="V231" s="281">
        <f t="shared" si="79"/>
        <v>0</v>
      </c>
      <c r="W231" s="281">
        <f t="shared" si="79"/>
        <v>0</v>
      </c>
      <c r="X231" s="281">
        <f t="shared" si="79"/>
        <v>0</v>
      </c>
      <c r="Y231" s="281">
        <f t="shared" si="79"/>
        <v>0</v>
      </c>
      <c r="Z231" s="269"/>
      <c r="AA231" s="269"/>
    </row>
    <row r="232" spans="2:27" x14ac:dyDescent="0.25">
      <c r="J232" s="14"/>
      <c r="K232" s="14"/>
      <c r="L232" s="14"/>
      <c r="M232" s="14"/>
      <c r="N232" s="14"/>
      <c r="O232" s="14"/>
      <c r="P232" s="14"/>
      <c r="Q232" s="14"/>
      <c r="R232" s="14"/>
      <c r="S232" s="14"/>
      <c r="T232" s="14"/>
      <c r="U232" s="14"/>
      <c r="V232" s="14"/>
      <c r="W232" s="14"/>
      <c r="X232" s="14"/>
      <c r="Y232" s="14"/>
    </row>
    <row r="233" spans="2:27" x14ac:dyDescent="0.25">
      <c r="B233" s="30" t="s">
        <v>231</v>
      </c>
      <c r="C233" s="30"/>
      <c r="D233" s="30"/>
      <c r="E233" s="30"/>
      <c r="F233" s="30"/>
      <c r="G233" s="30"/>
      <c r="H233" s="30"/>
      <c r="I233" s="30"/>
      <c r="J233" s="200"/>
      <c r="K233" s="200"/>
      <c r="L233" s="200"/>
      <c r="M233" s="200"/>
      <c r="N233" s="200"/>
      <c r="O233" s="200"/>
      <c r="P233" s="200"/>
      <c r="Q233" s="200"/>
      <c r="R233" s="200"/>
      <c r="S233" s="200"/>
      <c r="T233" s="200"/>
      <c r="U233" s="200"/>
      <c r="V233" s="200"/>
      <c r="W233" s="200"/>
      <c r="X233" s="200"/>
      <c r="Y233" s="200"/>
      <c r="Z233" s="30"/>
      <c r="AA233" s="30"/>
    </row>
    <row r="234" spans="2:27" x14ac:dyDescent="0.25">
      <c r="C234" s="32"/>
      <c r="D234" s="32"/>
      <c r="E234" s="32"/>
      <c r="J234" s="164"/>
      <c r="K234" s="14"/>
      <c r="L234" s="164"/>
      <c r="M234" s="14"/>
      <c r="N234" s="14"/>
      <c r="O234" s="14"/>
      <c r="P234" s="14"/>
      <c r="Q234" s="14"/>
      <c r="R234" s="14"/>
      <c r="S234" s="14"/>
      <c r="T234" s="14"/>
      <c r="U234" s="14"/>
      <c r="V234" s="14"/>
      <c r="W234" s="14"/>
      <c r="X234" s="14"/>
      <c r="Y234" s="14"/>
    </row>
    <row r="235" spans="2:27" x14ac:dyDescent="0.25">
      <c r="D235" s="32" t="s">
        <v>629</v>
      </c>
      <c r="E235" s="32"/>
      <c r="J235" s="164"/>
      <c r="K235" s="14"/>
      <c r="L235" s="164"/>
      <c r="M235" s="14"/>
      <c r="N235" s="14"/>
      <c r="O235" s="14"/>
      <c r="P235" s="14"/>
      <c r="Q235" s="14"/>
      <c r="R235" s="14"/>
      <c r="S235" s="14"/>
      <c r="T235" s="14"/>
      <c r="U235" s="14"/>
      <c r="V235" s="14"/>
      <c r="W235" s="14"/>
      <c r="X235" s="14"/>
      <c r="Y235" s="14"/>
    </row>
    <row r="236" spans="2:27" x14ac:dyDescent="0.25">
      <c r="C236" s="32"/>
      <c r="D236" s="32"/>
      <c r="E236" s="32"/>
      <c r="J236" s="164"/>
      <c r="K236" s="14"/>
      <c r="L236" s="164"/>
      <c r="M236" s="14"/>
      <c r="N236" s="14"/>
      <c r="O236" s="14"/>
      <c r="P236" s="14"/>
      <c r="Q236" s="14"/>
      <c r="R236" s="14"/>
      <c r="S236" s="14"/>
      <c r="T236" s="14"/>
      <c r="U236" s="14"/>
      <c r="V236" s="14"/>
      <c r="W236" s="14"/>
      <c r="X236" s="14"/>
      <c r="Y236" s="14"/>
    </row>
    <row r="237" spans="2:27" x14ac:dyDescent="0.25">
      <c r="C237" s="32"/>
      <c r="D237" s="32"/>
      <c r="E237" t="s">
        <v>232</v>
      </c>
      <c r="G237" s="6" t="s">
        <v>55</v>
      </c>
      <c r="H237" s="201">
        <f t="array" ref="H237">SUM(IF(ISERROR(H18:Y232), 1))</f>
        <v>0</v>
      </c>
      <c r="J237" s="63"/>
      <c r="K237" s="63"/>
      <c r="L237" s="63"/>
      <c r="M237" s="63"/>
      <c r="N237" s="63"/>
      <c r="O237" s="63"/>
      <c r="P237" s="63"/>
      <c r="Q237" s="63"/>
      <c r="R237" s="63"/>
      <c r="S237" s="63"/>
      <c r="T237" s="63"/>
      <c r="U237" s="63"/>
      <c r="V237" s="63"/>
      <c r="W237" s="63"/>
      <c r="X237" s="63"/>
      <c r="Y237" s="63"/>
    </row>
    <row r="238" spans="2:27" x14ac:dyDescent="0.25">
      <c r="C238" s="32"/>
      <c r="D238" s="32"/>
      <c r="E238" s="32"/>
      <c r="J238" s="63"/>
      <c r="L238" s="63"/>
    </row>
    <row r="239" spans="2:27" x14ac:dyDescent="0.25">
      <c r="C239" s="32"/>
      <c r="D239" s="32"/>
      <c r="E239" t="s">
        <v>630</v>
      </c>
      <c r="G239" s="6" t="s">
        <v>55</v>
      </c>
      <c r="H239" s="201">
        <f>SUM(J239:Y239)</f>
        <v>0</v>
      </c>
      <c r="I239" s="202"/>
      <c r="J239" s="201">
        <f t="shared" ref="J239:K239" si="80">IF(ABS(IFERROR(SUM(J152:J231), 1)) &gt; 0, 0, 1)</f>
        <v>0</v>
      </c>
      <c r="K239" s="201">
        <f t="shared" si="80"/>
        <v>0</v>
      </c>
      <c r="L239" s="201">
        <f t="shared" ref="L239:M239" si="81">IF(ABS(IFERROR(SUM(L152:L231), 1)) &gt; 0, 0, 1)</f>
        <v>0</v>
      </c>
      <c r="M239" s="201">
        <f t="shared" si="81"/>
        <v>0</v>
      </c>
      <c r="N239" s="201">
        <f t="shared" ref="N239:P239" si="82">IF(ABS(IFERROR(SUM(N152:N231), 1)) &gt; 0, 0, 1)</f>
        <v>0</v>
      </c>
      <c r="O239" s="201">
        <f t="shared" si="82"/>
        <v>0</v>
      </c>
      <c r="P239" s="201">
        <f t="shared" si="82"/>
        <v>0</v>
      </c>
      <c r="Q239" s="201">
        <f t="shared" ref="Q239:S239" si="83">IF(ABS(IFERROR(SUM(Q152:Q231), 1)) &gt; 0, 0, 1)</f>
        <v>0</v>
      </c>
      <c r="R239" s="201">
        <f t="shared" si="83"/>
        <v>0</v>
      </c>
      <c r="S239" s="201">
        <f t="shared" si="83"/>
        <v>0</v>
      </c>
      <c r="T239" s="201">
        <f t="shared" ref="T239:U239" si="84">IF(ABS(IFERROR(SUM(T152:T231), 1)) &gt; 0, 0, 1)</f>
        <v>0</v>
      </c>
      <c r="U239" s="201">
        <f t="shared" si="84"/>
        <v>0</v>
      </c>
      <c r="V239" s="201">
        <f t="shared" ref="V239:W239" si="85">IF(ABS(IFERROR(SUM(V152:V231), 1)) &gt; 0, 0, 1)</f>
        <v>0</v>
      </c>
      <c r="W239" s="201">
        <f t="shared" si="85"/>
        <v>0</v>
      </c>
      <c r="X239" s="201">
        <f t="shared" ref="X239:Y239" si="86">IF(ABS(IFERROR(SUM(X152:X231), 1)) &gt; 0, 0, 1)</f>
        <v>0</v>
      </c>
      <c r="Y239" s="201">
        <f t="shared" si="86"/>
        <v>0</v>
      </c>
    </row>
    <row r="240" spans="2:27" x14ac:dyDescent="0.25">
      <c r="C240" s="32"/>
      <c r="D240" s="32"/>
      <c r="E240" s="32"/>
      <c r="J240" s="164"/>
      <c r="K240" s="14"/>
      <c r="L240" s="164"/>
      <c r="M240" s="14"/>
      <c r="N240" s="14"/>
      <c r="O240" s="14"/>
      <c r="P240" s="14"/>
      <c r="Q240" s="14"/>
      <c r="R240" s="14"/>
      <c r="S240" s="14"/>
      <c r="T240" s="14"/>
      <c r="U240" s="14"/>
      <c r="V240" s="14"/>
      <c r="W240" s="14"/>
      <c r="X240" s="14"/>
      <c r="Y240" s="14"/>
    </row>
    <row r="241" spans="2:27" x14ac:dyDescent="0.25">
      <c r="C241" s="32"/>
      <c r="D241" s="32"/>
      <c r="E241" t="s">
        <v>631</v>
      </c>
      <c r="G241" s="6" t="s">
        <v>55</v>
      </c>
      <c r="H241" s="103">
        <f>SUM(H239, H237)</f>
        <v>0</v>
      </c>
      <c r="J241" s="164"/>
      <c r="K241" s="14"/>
      <c r="L241" s="164"/>
      <c r="M241" s="14"/>
      <c r="N241" s="14"/>
      <c r="O241" s="14"/>
      <c r="P241" s="14"/>
      <c r="Q241" s="14"/>
      <c r="R241" s="14"/>
      <c r="S241" s="14"/>
      <c r="T241" s="14"/>
      <c r="U241" s="14"/>
      <c r="V241" s="14"/>
      <c r="W241" s="14"/>
      <c r="X241" s="14"/>
      <c r="Y241" s="14"/>
    </row>
    <row r="242" spans="2:27" x14ac:dyDescent="0.25">
      <c r="C242" s="32"/>
      <c r="D242" s="32"/>
      <c r="E242" s="32"/>
      <c r="J242" s="63"/>
      <c r="L242" s="63"/>
    </row>
    <row r="243" spans="2:27" x14ac:dyDescent="0.25">
      <c r="B243" s="30" t="s">
        <v>106</v>
      </c>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row>
  </sheetData>
  <sheetProtection sheet="1" objects="1" formatCells="0" formatColumns="0" formatRows="0" sort="0" autoFilter="0"/>
  <conditionalFormatting sqref="H239:H241">
    <cfRule type="cellIs" dxfId="119" priority="21" operator="greaterThan">
      <formula>0</formula>
    </cfRule>
  </conditionalFormatting>
  <conditionalFormatting sqref="H237">
    <cfRule type="cellIs" dxfId="118" priority="19" operator="greaterThan">
      <formula>0</formula>
    </cfRule>
  </conditionalFormatting>
  <conditionalFormatting sqref="H241">
    <cfRule type="cellIs" dxfId="117" priority="18" operator="greaterThan">
      <formula>0</formula>
    </cfRule>
  </conditionalFormatting>
  <conditionalFormatting sqref="A4:I4 Z4:XFD4">
    <cfRule type="expression" dxfId="116" priority="17">
      <formula>LEFT($A$4,1) &lt;&gt; "0"</formula>
    </cfRule>
  </conditionalFormatting>
  <conditionalFormatting sqref="N239:P241">
    <cfRule type="cellIs" dxfId="115" priority="16" operator="greaterThan">
      <formula>0</formula>
    </cfRule>
  </conditionalFormatting>
  <conditionalFormatting sqref="N4:P4">
    <cfRule type="expression" dxfId="114" priority="15">
      <formula>LEFT($A$4,1) &lt;&gt; "0"</formula>
    </cfRule>
  </conditionalFormatting>
  <conditionalFormatting sqref="L239:M241">
    <cfRule type="cellIs" dxfId="113" priority="14" operator="greaterThan">
      <formula>0</formula>
    </cfRule>
  </conditionalFormatting>
  <conditionalFormatting sqref="L4:M4">
    <cfRule type="expression" dxfId="112" priority="13">
      <formula>LEFT($A$4,1) &lt;&gt; "0"</formula>
    </cfRule>
  </conditionalFormatting>
  <conditionalFormatting sqref="J239:K241">
    <cfRule type="cellIs" dxfId="111" priority="12" operator="greaterThan">
      <formula>0</formula>
    </cfRule>
  </conditionalFormatting>
  <conditionalFormatting sqref="J4:K4">
    <cfRule type="expression" dxfId="110" priority="11">
      <formula>LEFT($A$4,1) &lt;&gt; "0"</formula>
    </cfRule>
  </conditionalFormatting>
  <conditionalFormatting sqref="Q239:Q241">
    <cfRule type="cellIs" dxfId="109" priority="10" operator="greaterThan">
      <formula>0</formula>
    </cfRule>
  </conditionalFormatting>
  <conditionalFormatting sqref="Q4">
    <cfRule type="expression" dxfId="108" priority="9">
      <formula>LEFT($A$4,1) &lt;&gt; "0"</formula>
    </cfRule>
  </conditionalFormatting>
  <conditionalFormatting sqref="R239:S241">
    <cfRule type="cellIs" dxfId="107" priority="8" operator="greaterThan">
      <formula>0</formula>
    </cfRule>
  </conditionalFormatting>
  <conditionalFormatting sqref="R4:S4">
    <cfRule type="expression" dxfId="106" priority="7">
      <formula>LEFT($A$4,1) &lt;&gt; "0"</formula>
    </cfRule>
  </conditionalFormatting>
  <conditionalFormatting sqref="T239:U241">
    <cfRule type="cellIs" dxfId="105" priority="6" operator="greaterThan">
      <formula>0</formula>
    </cfRule>
  </conditionalFormatting>
  <conditionalFormatting sqref="T4:U4">
    <cfRule type="expression" dxfId="104" priority="5">
      <formula>LEFT($A$4,1) &lt;&gt; "0"</formula>
    </cfRule>
  </conditionalFormatting>
  <conditionalFormatting sqref="V239:W241">
    <cfRule type="cellIs" dxfId="103" priority="4" operator="greaterThan">
      <formula>0</formula>
    </cfRule>
  </conditionalFormatting>
  <conditionalFormatting sqref="V4:W4">
    <cfRule type="expression" dxfId="102" priority="3">
      <formula>LEFT($A$4,1) &lt;&gt; "0"</formula>
    </cfRule>
  </conditionalFormatting>
  <conditionalFormatting sqref="X239:Y241">
    <cfRule type="cellIs" dxfId="101" priority="2" operator="greaterThan">
      <formula>0</formula>
    </cfRule>
  </conditionalFormatting>
  <conditionalFormatting sqref="X4:Y4">
    <cfRule type="expression" dxfId="100"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KZ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2" width="24.5703125" hidden="1" customWidth="1"/>
    <col min="313"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WPD East Midlands - April 21 Prices</v>
      </c>
    </row>
    <row r="3" spans="1:27" s="5" customFormat="1" x14ac:dyDescent="0.25">
      <c r="A3" s="5" t="str">
        <f>Cover!D2&amp;" - "&amp;Cover!D8&amp;" v"&amp;Cover!D10&amp;" - "&amp;Cover!D19</f>
        <v>CDCM charging model - Release for charge setting v5 - 2021/22</v>
      </c>
    </row>
    <row r="4" spans="1:27" x14ac:dyDescent="0.25">
      <c r="A4" s="12" t="str">
        <f>H48 &amp; IF(H48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632</v>
      </c>
      <c r="D9"/>
      <c r="F9" s="29"/>
    </row>
    <row r="10" spans="1:27" x14ac:dyDescent="0.25">
      <c r="C10" s="29" t="s">
        <v>633</v>
      </c>
      <c r="D10"/>
      <c r="E10"/>
      <c r="F10" s="29"/>
    </row>
    <row r="11" spans="1:27" x14ac:dyDescent="0.25">
      <c r="C11" s="29" t="s">
        <v>634</v>
      </c>
    </row>
    <row r="13" spans="1:27" x14ac:dyDescent="0.25">
      <c r="B13" s="30" t="s">
        <v>635</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4" spans="1:27" x14ac:dyDescent="0.25">
      <c r="C14" s="88"/>
    </row>
    <row r="15" spans="1:27" x14ac:dyDescent="0.25">
      <c r="B15" s="2"/>
      <c r="C15" s="29" t="s">
        <v>636</v>
      </c>
    </row>
    <row r="16" spans="1:27" x14ac:dyDescent="0.25">
      <c r="C16" s="88"/>
    </row>
    <row r="17" spans="2:27" x14ac:dyDescent="0.25">
      <c r="C17" s="31" t="str">
        <f ca="1">INDEX('Version control'!$H$34:$H$57,MATCH($A$1,'Version control'!$F$34:$F$57,0),1)&amp;"-A: Inputs to service model charge calculation"</f>
        <v>Section 110-A: Inputs to service model charge calculation</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2:27" x14ac:dyDescent="0.25">
      <c r="C18" s="88"/>
    </row>
    <row r="19" spans="2:27" x14ac:dyDescent="0.25">
      <c r="D19"/>
      <c r="E19" s="28" t="s">
        <v>568</v>
      </c>
      <c r="F19" s="28"/>
      <c r="G19" s="28" t="s">
        <v>167</v>
      </c>
      <c r="H19" s="179">
        <f>'Unit costs'!$H$121</f>
        <v>4.6175686729760558E-2</v>
      </c>
      <c r="I19" s="3"/>
      <c r="J19" s="3"/>
      <c r="K19" s="3"/>
      <c r="L19" s="3"/>
      <c r="M19" s="3"/>
      <c r="N19" s="3"/>
      <c r="P19" s="3"/>
    </row>
    <row r="20" spans="2:27" x14ac:dyDescent="0.25">
      <c r="C20" s="88"/>
      <c r="E20" t="s">
        <v>598</v>
      </c>
      <c r="G20" t="s">
        <v>357</v>
      </c>
      <c r="H20" s="120">
        <f>'Unit costs'!$H$122</f>
        <v>163777253.27228677</v>
      </c>
    </row>
    <row r="21" spans="2:27" x14ac:dyDescent="0.25">
      <c r="C21" s="88"/>
      <c r="E21" t="s">
        <v>637</v>
      </c>
      <c r="G21" t="s">
        <v>357</v>
      </c>
      <c r="H21" s="120">
        <f>'Unit costs'!$H$123</f>
        <v>5586425917.8546276</v>
      </c>
    </row>
    <row r="22" spans="2:27" x14ac:dyDescent="0.25">
      <c r="D22" s="88"/>
      <c r="E22"/>
    </row>
    <row r="23" spans="2:27" x14ac:dyDescent="0.25">
      <c r="D23"/>
      <c r="E23" s="32" t="s">
        <v>638</v>
      </c>
      <c r="H23" s="63"/>
      <c r="J23" s="63"/>
      <c r="K23" s="63"/>
      <c r="L23" s="63"/>
      <c r="M23" s="63"/>
      <c r="N23" s="63"/>
    </row>
    <row r="24" spans="2:27" x14ac:dyDescent="0.25">
      <c r="D24"/>
      <c r="E24" s="29" t="s">
        <v>639</v>
      </c>
      <c r="H24" s="63"/>
    </row>
    <row r="25" spans="2:27" x14ac:dyDescent="0.25">
      <c r="E25" s="88"/>
      <c r="F25" s="23" t="s">
        <v>376</v>
      </c>
      <c r="G25" s="23" t="s">
        <v>261</v>
      </c>
      <c r="H25" s="174"/>
      <c r="I25" s="23"/>
      <c r="J25" s="124">
        <f>'Inputs by customer type'!J53</f>
        <v>238.55693744607416</v>
      </c>
      <c r="K25" s="124">
        <f>'Inputs by customer type'!K53</f>
        <v>0</v>
      </c>
      <c r="L25" s="124">
        <f>'Inputs by customer type'!L53</f>
        <v>699.48145096347423</v>
      </c>
      <c r="M25" s="124">
        <f>'Inputs by customer type'!M53</f>
        <v>0</v>
      </c>
      <c r="N25" s="124">
        <f>'Inputs by customer type'!N53</f>
        <v>1395.5617923497264</v>
      </c>
      <c r="O25" s="124">
        <f>'Inputs by customer type'!O53</f>
        <v>1089.3859512510783</v>
      </c>
      <c r="P25" s="124">
        <f>'Inputs by customer type'!P53</f>
        <v>0</v>
      </c>
      <c r="Q25" s="83"/>
      <c r="R25" s="124">
        <f>'Inputs by customer type'!R53</f>
        <v>0</v>
      </c>
      <c r="S25" s="124">
        <f>'Inputs by customer type'!S53</f>
        <v>0</v>
      </c>
      <c r="T25" s="124">
        <f>'Inputs by customer type'!T53</f>
        <v>0</v>
      </c>
      <c r="U25" s="124">
        <f>'Inputs by customer type'!U53</f>
        <v>0</v>
      </c>
      <c r="V25" s="124">
        <f>'Inputs by customer type'!V53</f>
        <v>0</v>
      </c>
      <c r="W25" s="124">
        <f>'Inputs by customer type'!W53</f>
        <v>0</v>
      </c>
      <c r="X25" s="124">
        <f>'Inputs by customer type'!X53</f>
        <v>0</v>
      </c>
      <c r="Y25" s="124">
        <f>'Inputs by customer type'!Y53</f>
        <v>0</v>
      </c>
    </row>
    <row r="26" spans="2:27" x14ac:dyDescent="0.25">
      <c r="E26" s="88"/>
      <c r="F26" t="s">
        <v>377</v>
      </c>
      <c r="G26" t="s">
        <v>261</v>
      </c>
      <c r="H26" s="51"/>
      <c r="J26" s="120">
        <f>'Inputs by customer type'!J54</f>
        <v>0</v>
      </c>
      <c r="K26" s="120">
        <f>'Inputs by customer type'!K54</f>
        <v>0</v>
      </c>
      <c r="L26" s="120">
        <f>'Inputs by customer type'!L54</f>
        <v>0</v>
      </c>
      <c r="M26" s="120">
        <f>'Inputs by customer type'!M54</f>
        <v>0</v>
      </c>
      <c r="N26" s="120">
        <f>'Inputs by customer type'!N54</f>
        <v>0</v>
      </c>
      <c r="O26" s="120">
        <f>'Inputs by customer type'!O54</f>
        <v>0</v>
      </c>
      <c r="P26" s="120">
        <f>'Inputs by customer type'!P54</f>
        <v>10057.03205953408</v>
      </c>
      <c r="Q26" s="79"/>
      <c r="R26" s="120">
        <f>'Inputs by customer type'!R54</f>
        <v>0</v>
      </c>
      <c r="S26" s="120">
        <f>'Inputs by customer type'!S54</f>
        <v>0</v>
      </c>
      <c r="T26" s="120">
        <f>'Inputs by customer type'!T54</f>
        <v>0</v>
      </c>
      <c r="U26" s="120">
        <f>'Inputs by customer type'!U54</f>
        <v>0</v>
      </c>
      <c r="V26" s="120">
        <f>'Inputs by customer type'!V54</f>
        <v>0</v>
      </c>
      <c r="W26" s="120">
        <f>'Inputs by customer type'!W54</f>
        <v>0</v>
      </c>
      <c r="X26" s="120">
        <f>'Inputs by customer type'!X54</f>
        <v>6294.1199309749773</v>
      </c>
      <c r="Y26" s="120">
        <f>'Inputs by customer type'!Y54</f>
        <v>6294.1199309749773</v>
      </c>
    </row>
    <row r="27" spans="2:27" x14ac:dyDescent="0.25">
      <c r="E27" s="88"/>
      <c r="F27" s="37" t="s">
        <v>553</v>
      </c>
      <c r="G27" s="37" t="s">
        <v>264</v>
      </c>
      <c r="H27" s="37"/>
      <c r="I27" s="37"/>
      <c r="J27" s="81"/>
      <c r="K27" s="81"/>
      <c r="L27" s="81"/>
      <c r="M27" s="81"/>
      <c r="N27" s="81"/>
      <c r="O27" s="81"/>
      <c r="P27" s="81"/>
      <c r="Q27" s="125">
        <f>'Inputs by customer type'!Q56</f>
        <v>269.67347789473678</v>
      </c>
      <c r="R27" s="81"/>
      <c r="S27" s="81"/>
      <c r="T27" s="81"/>
      <c r="U27" s="81"/>
      <c r="V27" s="81"/>
      <c r="W27" s="81"/>
      <c r="X27" s="81"/>
      <c r="Y27" s="81"/>
    </row>
    <row r="28" spans="2:27" x14ac:dyDescent="0.25">
      <c r="D28" s="88"/>
      <c r="E28"/>
    </row>
    <row r="29" spans="2:27" x14ac:dyDescent="0.25">
      <c r="B29" s="30" t="s">
        <v>640</v>
      </c>
      <c r="C29" s="30"/>
      <c r="D29" s="30"/>
      <c r="E29" s="30"/>
      <c r="F29" s="30"/>
      <c r="G29" s="30"/>
      <c r="H29" s="30"/>
      <c r="I29" s="30"/>
      <c r="J29" s="30"/>
      <c r="K29" s="30"/>
      <c r="L29" s="30"/>
      <c r="M29" s="30"/>
      <c r="N29" s="30"/>
      <c r="O29" s="30"/>
      <c r="P29" s="30"/>
      <c r="Q29" s="30"/>
      <c r="R29" s="30"/>
      <c r="S29" s="30"/>
      <c r="T29" s="30"/>
      <c r="U29" s="30"/>
      <c r="V29" s="30"/>
      <c r="W29" s="30"/>
      <c r="X29" s="30"/>
      <c r="Y29" s="30"/>
      <c r="Z29" s="30"/>
      <c r="AA29" s="30"/>
    </row>
    <row r="30" spans="2:27" x14ac:dyDescent="0.25">
      <c r="C30" s="88"/>
    </row>
    <row r="31" spans="2:27" x14ac:dyDescent="0.25">
      <c r="C31" s="29" t="s">
        <v>641</v>
      </c>
    </row>
    <row r="32" spans="2:27" x14ac:dyDescent="0.25">
      <c r="C32" s="88"/>
    </row>
    <row r="33" spans="2:27" x14ac:dyDescent="0.25">
      <c r="C33" s="31" t="str">
        <f ca="1">INDEX('Version control'!$H$34:$H$57,MATCH($A$1,'Version control'!$F$34:$F$57,0),1)&amp;"-B: Calculation of other operating expenditure per £ of notional asset value"</f>
        <v>Section 110-B: Calculation of other operating expenditure per £ of notional asset value</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2:27" x14ac:dyDescent="0.25">
      <c r="C34" s="88"/>
    </row>
    <row r="35" spans="2:27" x14ac:dyDescent="0.25">
      <c r="D35"/>
      <c r="E35" t="s">
        <v>642</v>
      </c>
      <c r="G35" t="s">
        <v>277</v>
      </c>
      <c r="H35" s="98">
        <f>IF(H21 &lt;&gt; 0, H20  /H21, 0)</f>
        <v>2.9317000830323847E-2</v>
      </c>
      <c r="I35" t="s">
        <v>154</v>
      </c>
      <c r="J35" s="63"/>
      <c r="K35" s="63"/>
      <c r="L35" s="63"/>
      <c r="M35" s="63"/>
      <c r="N35" s="63"/>
      <c r="O35" s="63"/>
      <c r="P35" s="63"/>
      <c r="Q35" s="63"/>
      <c r="R35" s="63"/>
      <c r="S35" s="63"/>
      <c r="T35" s="63"/>
      <c r="U35" s="63"/>
      <c r="V35" s="63"/>
      <c r="W35" s="63"/>
      <c r="X35" s="63"/>
      <c r="Y35" s="63"/>
      <c r="AA35" t="s">
        <v>643</v>
      </c>
    </row>
    <row r="36" spans="2:27" x14ac:dyDescent="0.25">
      <c r="D36" s="88"/>
      <c r="E36"/>
      <c r="J36" s="63"/>
      <c r="K36" s="63"/>
      <c r="L36" s="63"/>
      <c r="M36" s="63"/>
      <c r="N36" s="63"/>
      <c r="O36" s="63"/>
      <c r="P36" s="63"/>
      <c r="Q36" s="63"/>
      <c r="R36" s="63"/>
      <c r="S36" s="63"/>
      <c r="T36" s="63"/>
      <c r="U36" s="63"/>
      <c r="V36" s="63"/>
      <c r="W36" s="63"/>
      <c r="X36" s="63"/>
      <c r="Y36" s="63"/>
    </row>
    <row r="37" spans="2:27" x14ac:dyDescent="0.25">
      <c r="C37" s="31" t="str">
        <f ca="1">INDEX('Version control'!$H$34:$H$57,MATCH($A$1,'Version control'!$F$34:$F$57,0),1)&amp;"-C: Calculation of service model charges"</f>
        <v>Section 110-C: Calculation of service model charges</v>
      </c>
      <c r="D37" s="31"/>
      <c r="E37" s="31"/>
      <c r="F37" s="31"/>
      <c r="G37" s="31"/>
      <c r="H37" s="31"/>
      <c r="I37" s="31"/>
      <c r="J37" s="31"/>
      <c r="K37" s="31"/>
      <c r="L37" s="31"/>
      <c r="M37" s="31"/>
      <c r="N37" s="31"/>
      <c r="O37" s="31"/>
      <c r="P37" s="31"/>
      <c r="Q37" s="31"/>
      <c r="R37" s="31"/>
      <c r="S37" s="31"/>
      <c r="T37" s="31"/>
      <c r="U37" s="31"/>
      <c r="V37" s="31"/>
      <c r="W37" s="31"/>
      <c r="X37" s="31"/>
      <c r="Y37" s="31"/>
      <c r="Z37" s="31"/>
      <c r="AA37" s="31"/>
    </row>
    <row r="38" spans="2:27" x14ac:dyDescent="0.25">
      <c r="C38" s="88"/>
    </row>
    <row r="39" spans="2:27" x14ac:dyDescent="0.25">
      <c r="D39"/>
      <c r="E39" s="29" t="s">
        <v>644</v>
      </c>
      <c r="H39" s="63"/>
      <c r="J39" s="63"/>
      <c r="K39" s="63"/>
      <c r="L39" s="63"/>
      <c r="M39" s="63"/>
      <c r="N39" s="63"/>
      <c r="O39" s="63"/>
      <c r="P39" s="63"/>
      <c r="Q39" s="63"/>
      <c r="R39" s="63"/>
      <c r="S39" s="63"/>
      <c r="T39" s="63"/>
      <c r="U39" s="63"/>
      <c r="V39" s="63"/>
      <c r="W39" s="63"/>
      <c r="X39" s="63"/>
      <c r="Y39" s="63"/>
    </row>
    <row r="40" spans="2:27" x14ac:dyDescent="0.25">
      <c r="D40"/>
      <c r="E40" s="29"/>
      <c r="H40" s="63"/>
      <c r="J40" s="63"/>
      <c r="K40" s="63"/>
      <c r="L40" s="63"/>
      <c r="M40" s="63"/>
      <c r="N40" s="63"/>
      <c r="O40" s="63"/>
      <c r="P40" s="63"/>
      <c r="Q40" s="63"/>
      <c r="R40" s="63"/>
      <c r="S40" s="63"/>
      <c r="T40" s="63"/>
      <c r="U40" s="63"/>
      <c r="V40" s="63"/>
      <c r="W40" s="63"/>
      <c r="X40" s="63"/>
      <c r="Y40" s="63"/>
    </row>
    <row r="41" spans="2:27" x14ac:dyDescent="0.25">
      <c r="D41"/>
      <c r="E41" s="32" t="s">
        <v>645</v>
      </c>
      <c r="H41" s="63"/>
      <c r="I41" t="s">
        <v>154</v>
      </c>
      <c r="J41" s="63"/>
      <c r="K41" s="63"/>
      <c r="L41" s="63"/>
      <c r="M41" s="63"/>
      <c r="N41" s="63"/>
      <c r="O41" s="63"/>
      <c r="P41" s="63"/>
      <c r="Q41" s="63"/>
      <c r="R41" s="63"/>
      <c r="S41" s="63"/>
      <c r="T41" s="63"/>
      <c r="U41" s="63"/>
      <c r="V41" s="63"/>
      <c r="W41" s="63"/>
      <c r="X41" s="63"/>
      <c r="Y41" s="63"/>
      <c r="AA41" t="s">
        <v>646</v>
      </c>
    </row>
    <row r="42" spans="2:27" x14ac:dyDescent="0.25">
      <c r="D42"/>
      <c r="E42" s="88"/>
      <c r="F42" s="23" t="s">
        <v>376</v>
      </c>
      <c r="G42" s="23" t="s">
        <v>270</v>
      </c>
      <c r="H42" s="174"/>
      <c r="I42" s="23"/>
      <c r="J42" s="101">
        <f t="shared" ref="J42:K42" si="0">J25 * $H$35 / days_in_year * hundred</f>
        <v>1.9161024474482382</v>
      </c>
      <c r="K42" s="101">
        <f t="shared" si="0"/>
        <v>0</v>
      </c>
      <c r="L42" s="101">
        <f t="shared" ref="L42:M42" si="1">L25 * $H$35 / days_in_year * hundred</f>
        <v>5.6182735010115907</v>
      </c>
      <c r="M42" s="101">
        <f t="shared" si="1"/>
        <v>0</v>
      </c>
      <c r="N42" s="101">
        <f t="shared" ref="N42:P42" si="2">N25 * $H$35 / days_in_year * hundred</f>
        <v>11.209229102763059</v>
      </c>
      <c r="O42" s="101">
        <f t="shared" si="2"/>
        <v>8.750007900649587</v>
      </c>
      <c r="P42" s="101">
        <f t="shared" si="2"/>
        <v>0</v>
      </c>
      <c r="Q42" s="101">
        <f t="shared" ref="Q42:S42" si="3">Q25 * $H$35 / days_in_year * hundred</f>
        <v>0</v>
      </c>
      <c r="R42" s="101">
        <f t="shared" si="3"/>
        <v>0</v>
      </c>
      <c r="S42" s="101">
        <f t="shared" si="3"/>
        <v>0</v>
      </c>
      <c r="T42" s="101">
        <f t="shared" ref="T42:U42" si="4">T25 * $H$35 / days_in_year * hundred</f>
        <v>0</v>
      </c>
      <c r="U42" s="101">
        <f t="shared" si="4"/>
        <v>0</v>
      </c>
      <c r="V42" s="101">
        <f t="shared" ref="V42:W42" si="5">V25 * $H$35 / days_in_year * hundred</f>
        <v>0</v>
      </c>
      <c r="W42" s="101">
        <f t="shared" si="5"/>
        <v>0</v>
      </c>
      <c r="X42" s="101">
        <f t="shared" ref="X42:Y42" si="6">X25 * $H$35 / days_in_year * hundred</f>
        <v>0</v>
      </c>
      <c r="Y42" s="101">
        <f t="shared" si="6"/>
        <v>0</v>
      </c>
    </row>
    <row r="43" spans="2:27" x14ac:dyDescent="0.25">
      <c r="D43"/>
      <c r="E43" s="88"/>
      <c r="F43" t="s">
        <v>377</v>
      </c>
      <c r="G43" t="s">
        <v>270</v>
      </c>
      <c r="H43" s="51"/>
      <c r="J43" s="121">
        <f t="shared" ref="J43:K43" si="7">J26 * $H$35 / days_in_year * hundred</f>
        <v>0</v>
      </c>
      <c r="K43" s="121">
        <f t="shared" si="7"/>
        <v>0</v>
      </c>
      <c r="L43" s="121">
        <f t="shared" ref="L43:M43" si="8">L26 * $H$35 / days_in_year * hundred</f>
        <v>0</v>
      </c>
      <c r="M43" s="121">
        <f t="shared" si="8"/>
        <v>0</v>
      </c>
      <c r="N43" s="121">
        <f t="shared" ref="N43:P43" si="9">N26 * $H$35 / days_in_year * hundred</f>
        <v>0</v>
      </c>
      <c r="O43" s="121">
        <f t="shared" si="9"/>
        <v>0</v>
      </c>
      <c r="P43" s="121">
        <f t="shared" si="9"/>
        <v>80.778634860261405</v>
      </c>
      <c r="Q43" s="121">
        <f t="shared" ref="Q43:S43" si="10">Q26 * $H$35 / days_in_year * hundred</f>
        <v>0</v>
      </c>
      <c r="R43" s="121">
        <f t="shared" si="10"/>
        <v>0</v>
      </c>
      <c r="S43" s="121">
        <f t="shared" si="10"/>
        <v>0</v>
      </c>
      <c r="T43" s="121">
        <f t="shared" ref="T43:U43" si="11">T26 * $H$35 / days_in_year * hundred</f>
        <v>0</v>
      </c>
      <c r="U43" s="121">
        <f t="shared" si="11"/>
        <v>0</v>
      </c>
      <c r="V43" s="121">
        <f t="shared" ref="V43:W43" si="12">V26 * $H$35 / days_in_year * hundred</f>
        <v>0</v>
      </c>
      <c r="W43" s="121">
        <f t="shared" si="12"/>
        <v>0</v>
      </c>
      <c r="X43" s="121">
        <f t="shared" ref="X43:Y43" si="13">X26 * $H$35 / days_in_year * hundred</f>
        <v>50.554717600698972</v>
      </c>
      <c r="Y43" s="121">
        <f t="shared" si="13"/>
        <v>50.554717600698972</v>
      </c>
    </row>
    <row r="44" spans="2:27" x14ac:dyDescent="0.25">
      <c r="D44"/>
      <c r="E44" s="88"/>
      <c r="F44" s="37" t="s">
        <v>553</v>
      </c>
      <c r="G44" s="37" t="s">
        <v>269</v>
      </c>
      <c r="H44" s="273"/>
      <c r="I44" s="273"/>
      <c r="J44" s="274"/>
      <c r="K44" s="274"/>
      <c r="L44" s="274"/>
      <c r="M44" s="274"/>
      <c r="N44" s="274"/>
      <c r="O44" s="274"/>
      <c r="P44" s="274"/>
      <c r="Q44" s="282">
        <f t="shared" ref="Q44" si="14">Q27*$H$35/ten</f>
        <v>0.79060175753563178</v>
      </c>
      <c r="R44" s="274"/>
      <c r="S44" s="274"/>
      <c r="T44" s="274"/>
      <c r="U44" s="274"/>
      <c r="V44" s="274"/>
      <c r="W44" s="274"/>
      <c r="X44" s="274"/>
      <c r="Y44" s="274"/>
      <c r="Z44" s="269"/>
      <c r="AA44" s="269"/>
    </row>
    <row r="45" spans="2:27" x14ac:dyDescent="0.25">
      <c r="D45" s="88"/>
      <c r="E45"/>
    </row>
    <row r="46" spans="2:27" x14ac:dyDescent="0.25">
      <c r="B46" s="30" t="s">
        <v>231</v>
      </c>
      <c r="C46" s="30"/>
      <c r="D46" s="30"/>
      <c r="E46" s="30"/>
      <c r="F46" s="30"/>
      <c r="G46" s="30"/>
      <c r="H46" s="30"/>
      <c r="I46" s="30"/>
      <c r="J46" s="30"/>
      <c r="K46" s="30"/>
      <c r="L46" s="30"/>
      <c r="M46" s="30"/>
      <c r="N46" s="30"/>
      <c r="O46" s="30"/>
      <c r="P46" s="30"/>
      <c r="Q46" s="30"/>
      <c r="R46" s="30"/>
      <c r="S46" s="30"/>
      <c r="T46" s="30"/>
      <c r="U46" s="30"/>
      <c r="V46" s="30"/>
      <c r="W46" s="30"/>
      <c r="X46" s="30"/>
      <c r="Y46" s="30"/>
      <c r="Z46" s="30"/>
      <c r="AA46" s="30"/>
    </row>
    <row r="48" spans="2:27" x14ac:dyDescent="0.25">
      <c r="E48" t="s">
        <v>232</v>
      </c>
      <c r="G48" s="6" t="s">
        <v>55</v>
      </c>
      <c r="H48" s="26">
        <f t="array" ref="H48">SUM(IF(ISERROR(H19:Y45), 1))</f>
        <v>0</v>
      </c>
    </row>
    <row r="50" spans="2:27" x14ac:dyDescent="0.25">
      <c r="B50" s="30" t="s">
        <v>106</v>
      </c>
      <c r="C50" s="104"/>
      <c r="D50" s="112"/>
      <c r="E50" s="112"/>
      <c r="F50" s="104"/>
      <c r="G50" s="104"/>
      <c r="H50" s="104"/>
      <c r="I50" s="104"/>
      <c r="J50" s="104"/>
      <c r="K50" s="104"/>
      <c r="L50" s="104"/>
      <c r="M50" s="104"/>
      <c r="N50" s="104"/>
      <c r="O50" s="104"/>
      <c r="P50" s="104"/>
      <c r="Q50" s="104"/>
      <c r="R50" s="104"/>
      <c r="S50" s="104"/>
      <c r="T50" s="104"/>
      <c r="U50" s="104"/>
      <c r="V50" s="104"/>
      <c r="W50" s="104"/>
      <c r="X50" s="104"/>
      <c r="Y50" s="104"/>
      <c r="Z50" s="105"/>
      <c r="AA50" s="105"/>
    </row>
  </sheetData>
  <sheetProtection sheet="1" objects="1" formatCells="0" formatColumns="0" formatRows="0" sort="0" autoFilter="0"/>
  <conditionalFormatting sqref="H48">
    <cfRule type="cellIs" dxfId="99" priority="10" operator="greaterThan">
      <formula>0</formula>
    </cfRule>
  </conditionalFormatting>
  <conditionalFormatting sqref="A4:I4 Z4:XFD4">
    <cfRule type="expression" dxfId="98" priority="9">
      <formula>LEFT($A$4,1) &lt;&gt; "0"</formula>
    </cfRule>
  </conditionalFormatting>
  <conditionalFormatting sqref="N4:P4">
    <cfRule type="expression" dxfId="97" priority="8">
      <formula>LEFT($A$4,1) &lt;&gt; "0"</formula>
    </cfRule>
  </conditionalFormatting>
  <conditionalFormatting sqref="L4:M4">
    <cfRule type="expression" dxfId="96" priority="7">
      <formula>LEFT($A$4,1) &lt;&gt; "0"</formula>
    </cfRule>
  </conditionalFormatting>
  <conditionalFormatting sqref="J4:K4">
    <cfRule type="expression" dxfId="95" priority="6">
      <formula>LEFT($A$4,1) &lt;&gt; "0"</formula>
    </cfRule>
  </conditionalFormatting>
  <conditionalFormatting sqref="Q4">
    <cfRule type="expression" dxfId="94" priority="5">
      <formula>LEFT($A$4,1) &lt;&gt; "0"</formula>
    </cfRule>
  </conditionalFormatting>
  <conditionalFormatting sqref="R4:S4">
    <cfRule type="expression" dxfId="93" priority="4">
      <formula>LEFT($A$4,1) &lt;&gt; "0"</formula>
    </cfRule>
  </conditionalFormatting>
  <conditionalFormatting sqref="T4:U4">
    <cfRule type="expression" dxfId="92" priority="3">
      <formula>LEFT($A$4,1) &lt;&gt; "0"</formula>
    </cfRule>
  </conditionalFormatting>
  <conditionalFormatting sqref="V4:W4">
    <cfRule type="expression" dxfId="91" priority="2">
      <formula>LEFT($A$4,1) &lt;&gt; "0"</formula>
    </cfRule>
  </conditionalFormatting>
  <conditionalFormatting sqref="X4:Y4">
    <cfRule type="expression" dxfId="9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75"/>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7109375" style="6" customWidth="1"/>
    <col min="7" max="7" width="22.7109375" style="6" customWidth="1"/>
    <col min="8" max="8" width="24.28515625" style="6" customWidth="1"/>
    <col min="9" max="9" width="30.7109375" style="6" customWidth="1"/>
    <col min="10" max="10" width="19.42578125" style="6" bestFit="1" customWidth="1"/>
    <col min="11" max="11" width="10.5703125" style="6" customWidth="1"/>
    <col min="12" max="12" width="82.5703125" style="6" customWidth="1"/>
    <col min="13" max="13" width="2.5703125" style="6" customWidth="1"/>
    <col min="14" max="16384" width="9.28515625" style="6" hidden="1"/>
  </cols>
  <sheetData>
    <row r="1" spans="1:13" s="1" customFormat="1" x14ac:dyDescent="0.25">
      <c r="A1" s="1" t="str">
        <f ca="1">MID(CELL("filename",A1),FIND("]",CELL("filename",A1))+1,255)</f>
        <v>Version control</v>
      </c>
    </row>
    <row r="2" spans="1:13" s="1" customFormat="1" x14ac:dyDescent="0.25">
      <c r="A2" s="1" t="str">
        <f>Cover!D21&amp;" - "&amp;Cover!D23</f>
        <v>WPD East Midlands - April 21 Prices</v>
      </c>
    </row>
    <row r="3" spans="1:13" s="5" customFormat="1" x14ac:dyDescent="0.25">
      <c r="A3" s="5" t="str">
        <f>Cover!D2&amp;" - "&amp;Cover!D8&amp;" v"&amp;Cover!D10&amp;" - "&amp;Cover!D19</f>
        <v>CDCM charging model - Release for charge setting v5 - 2021/22</v>
      </c>
    </row>
    <row r="4" spans="1:13" customFormat="1" x14ac:dyDescent="0.25">
      <c r="A4" s="12" t="str">
        <f>J58 &amp; IF(J58 = 1, " issue", " issues") &amp;" identified in checks on this sheet"</f>
        <v>0 issues identified in checks on this sheet</v>
      </c>
      <c r="B4" s="13"/>
      <c r="C4" s="13"/>
      <c r="D4" s="13"/>
      <c r="E4" s="13"/>
      <c r="F4" s="13"/>
      <c r="G4" s="13"/>
      <c r="H4" s="14"/>
      <c r="I4" s="14"/>
      <c r="J4" s="13"/>
    </row>
    <row r="5" spans="1:13" x14ac:dyDescent="0.25">
      <c r="A5" s="40"/>
      <c r="B5" s="41" t="s">
        <v>32</v>
      </c>
      <c r="C5" s="41"/>
      <c r="D5" s="41"/>
      <c r="E5" s="41"/>
      <c r="F5" s="41"/>
      <c r="G5" s="42"/>
      <c r="H5" s="42"/>
      <c r="I5" s="42"/>
      <c r="J5" s="42"/>
      <c r="K5" s="42"/>
      <c r="L5" s="41"/>
    </row>
    <row r="6" spans="1:13" x14ac:dyDescent="0.25">
      <c r="A6" s="40"/>
      <c r="B6" s="40"/>
      <c r="C6" s="40"/>
      <c r="D6" s="40"/>
      <c r="E6" s="40"/>
      <c r="F6" s="40"/>
      <c r="G6" s="43"/>
      <c r="H6" s="43"/>
      <c r="I6" s="43"/>
      <c r="J6" s="43"/>
      <c r="K6" s="43"/>
      <c r="L6" s="40"/>
    </row>
    <row r="7" spans="1:13" x14ac:dyDescent="0.25">
      <c r="A7" s="40"/>
      <c r="B7" s="40"/>
      <c r="C7" s="40"/>
      <c r="D7" s="40"/>
      <c r="F7" s="40" t="s">
        <v>33</v>
      </c>
      <c r="H7" s="10">
        <f>LOOKUP(2,1/(F20:F30&lt;&gt;""),F20:F30)</f>
        <v>43777</v>
      </c>
      <c r="I7" s="44"/>
      <c r="J7" s="44"/>
      <c r="K7" s="40"/>
      <c r="L7" s="40"/>
    </row>
    <row r="8" spans="1:13" x14ac:dyDescent="0.25">
      <c r="A8" s="40"/>
      <c r="B8" s="40"/>
      <c r="C8" s="40"/>
      <c r="D8" s="40"/>
      <c r="F8" s="40"/>
      <c r="H8" s="40"/>
      <c r="I8" s="43"/>
      <c r="J8" s="43"/>
      <c r="K8" s="40"/>
      <c r="L8" s="40"/>
    </row>
    <row r="9" spans="1:13" x14ac:dyDescent="0.25">
      <c r="A9" s="40"/>
      <c r="B9" s="40"/>
      <c r="C9" s="40"/>
      <c r="D9" s="40"/>
      <c r="F9" s="40" t="s">
        <v>34</v>
      </c>
      <c r="H9" s="45" t="str">
        <f>LOOKUP(2,1/(G20:G30&lt;&gt;""),G20:G30)</f>
        <v>Release for charge setting</v>
      </c>
      <c r="I9" s="46"/>
      <c r="J9" s="46"/>
      <c r="K9" s="40"/>
      <c r="L9" s="40"/>
    </row>
    <row r="10" spans="1:13" x14ac:dyDescent="0.25">
      <c r="A10" s="40"/>
      <c r="B10" s="40"/>
      <c r="C10" s="40"/>
      <c r="D10" s="40"/>
      <c r="F10" s="40"/>
      <c r="H10" s="40"/>
      <c r="I10" s="40"/>
      <c r="J10" s="40"/>
      <c r="K10" s="40"/>
      <c r="L10" s="40"/>
    </row>
    <row r="11" spans="1:13" x14ac:dyDescent="0.25">
      <c r="A11" s="40"/>
      <c r="B11" s="40"/>
      <c r="C11" s="40"/>
      <c r="D11" s="40"/>
      <c r="F11" s="306" t="s">
        <v>935</v>
      </c>
      <c r="H11" s="45">
        <f>LOOKUP(2,1/(H20:H30&lt;&gt;""),H20:H30)</f>
        <v>5</v>
      </c>
      <c r="I11" s="46"/>
      <c r="J11" s="46"/>
      <c r="K11" s="40"/>
      <c r="L11" s="40"/>
    </row>
    <row r="12" spans="1:13" x14ac:dyDescent="0.25">
      <c r="A12" s="40"/>
      <c r="B12" s="40"/>
      <c r="C12" s="40"/>
      <c r="D12" s="40"/>
      <c r="F12" s="40"/>
      <c r="H12" s="40"/>
      <c r="I12" s="43"/>
      <c r="J12" s="43"/>
      <c r="K12" s="40"/>
      <c r="L12" s="40"/>
    </row>
    <row r="13" spans="1:13" customFormat="1" x14ac:dyDescent="0.25">
      <c r="A13" s="9"/>
      <c r="B13" s="9"/>
      <c r="C13" s="9"/>
      <c r="D13" s="9"/>
      <c r="E13" s="6"/>
      <c r="F13" s="40" t="s">
        <v>35</v>
      </c>
      <c r="H13" s="10" t="str">
        <f>LOOKUP(2,1/(I20:I30&lt;&gt;""),I20:I30)</f>
        <v>Attachment A_01 April 2021 Charging Methodologies Pre-Release_Issued October 2019 (shared 10/10/2019)</v>
      </c>
      <c r="I13" s="11"/>
      <c r="J13" s="11"/>
      <c r="K13" s="11"/>
      <c r="L13" s="9"/>
      <c r="M13" s="9"/>
    </row>
    <row r="14" spans="1:13" customFormat="1" x14ac:dyDescent="0.25">
      <c r="A14" s="9"/>
      <c r="B14" s="9"/>
      <c r="C14" s="9"/>
      <c r="D14" s="9"/>
      <c r="E14" s="6"/>
      <c r="F14" s="9"/>
      <c r="I14" s="11"/>
      <c r="J14" s="11"/>
      <c r="K14" s="11"/>
      <c r="L14" s="9"/>
      <c r="M14" s="9"/>
    </row>
    <row r="15" spans="1:13" x14ac:dyDescent="0.25">
      <c r="A15" s="40"/>
      <c r="B15" s="40"/>
      <c r="C15" s="40"/>
      <c r="D15" s="40"/>
      <c r="F15" s="40" t="s">
        <v>36</v>
      </c>
      <c r="H15" s="45" t="str">
        <f>LOOKUP(2,1/(J20:J30&lt;&gt;""),J20:J30)</f>
        <v>Schedule 16</v>
      </c>
      <c r="I15" s="43"/>
      <c r="J15" s="43"/>
      <c r="K15" s="40"/>
      <c r="L15" s="40"/>
    </row>
    <row r="16" spans="1:13" x14ac:dyDescent="0.25">
      <c r="A16" s="40"/>
      <c r="B16" s="40"/>
      <c r="C16" s="40"/>
      <c r="D16" s="40"/>
      <c r="E16" s="40"/>
      <c r="F16" s="40"/>
      <c r="H16" s="43"/>
      <c r="I16" s="43"/>
      <c r="J16" s="43"/>
      <c r="K16" s="40"/>
      <c r="L16" s="40"/>
    </row>
    <row r="17" spans="1:12" x14ac:dyDescent="0.25">
      <c r="A17" s="40"/>
      <c r="B17" s="41" t="s">
        <v>37</v>
      </c>
      <c r="C17" s="41"/>
      <c r="D17" s="41"/>
      <c r="E17" s="41"/>
      <c r="F17" s="41"/>
      <c r="G17" s="42"/>
      <c r="H17" s="42"/>
      <c r="I17" s="42"/>
      <c r="J17" s="42"/>
      <c r="K17" s="42"/>
      <c r="L17" s="41"/>
    </row>
    <row r="18" spans="1:12" x14ac:dyDescent="0.25">
      <c r="A18" s="40"/>
      <c r="B18" s="40"/>
      <c r="C18" s="40"/>
      <c r="D18" s="40"/>
      <c r="E18" s="40"/>
      <c r="F18" s="40"/>
      <c r="G18" s="43"/>
      <c r="H18" s="40"/>
      <c r="I18" s="40"/>
      <c r="J18" s="40"/>
      <c r="K18" s="40"/>
      <c r="L18" s="40"/>
    </row>
    <row r="19" spans="1:12" x14ac:dyDescent="0.25">
      <c r="A19" s="40"/>
      <c r="B19" s="40"/>
      <c r="C19" s="40"/>
      <c r="D19" s="40"/>
      <c r="E19" s="40"/>
      <c r="F19" s="47" t="s">
        <v>38</v>
      </c>
      <c r="G19" s="48" t="s">
        <v>39</v>
      </c>
      <c r="H19" s="47" t="s">
        <v>932</v>
      </c>
      <c r="I19" s="48" t="s">
        <v>40</v>
      </c>
      <c r="J19" s="48" t="s">
        <v>41</v>
      </c>
      <c r="K19" s="48" t="s">
        <v>42</v>
      </c>
      <c r="L19" s="48" t="s">
        <v>43</v>
      </c>
    </row>
    <row r="20" spans="1:12" ht="30" x14ac:dyDescent="0.25">
      <c r="A20" s="40"/>
      <c r="B20" s="40"/>
      <c r="C20" s="40"/>
      <c r="D20" s="40"/>
      <c r="E20" s="40"/>
      <c r="F20" s="249">
        <v>43250</v>
      </c>
      <c r="G20" s="245" t="s">
        <v>44</v>
      </c>
      <c r="H20" s="245">
        <v>1</v>
      </c>
      <c r="I20" s="245" t="s">
        <v>45</v>
      </c>
      <c r="J20" s="245" t="s">
        <v>46</v>
      </c>
      <c r="K20" s="245" t="s">
        <v>47</v>
      </c>
      <c r="L20" s="245" t="s">
        <v>48</v>
      </c>
    </row>
    <row r="21" spans="1:12" ht="30" x14ac:dyDescent="0.25">
      <c r="A21" s="40"/>
      <c r="B21" s="40"/>
      <c r="C21" s="40"/>
      <c r="D21" s="40"/>
      <c r="E21" s="40"/>
      <c r="F21" s="249">
        <v>43301</v>
      </c>
      <c r="G21" s="245" t="s">
        <v>44</v>
      </c>
      <c r="H21" s="245">
        <v>2</v>
      </c>
      <c r="I21" s="245" t="s">
        <v>49</v>
      </c>
      <c r="J21" s="245" t="s">
        <v>46</v>
      </c>
      <c r="K21" s="245" t="s">
        <v>47</v>
      </c>
      <c r="L21" s="245" t="s">
        <v>50</v>
      </c>
    </row>
    <row r="22" spans="1:12" ht="45" x14ac:dyDescent="0.25">
      <c r="A22" s="40"/>
      <c r="B22" s="40"/>
      <c r="C22" s="40"/>
      <c r="D22" s="40"/>
      <c r="E22" s="40"/>
      <c r="F22" s="249">
        <v>43389</v>
      </c>
      <c r="G22" s="245" t="s">
        <v>933</v>
      </c>
      <c r="H22" s="245">
        <v>3</v>
      </c>
      <c r="I22" s="304" t="s">
        <v>934</v>
      </c>
      <c r="J22" s="304" t="s">
        <v>46</v>
      </c>
      <c r="K22" s="304" t="s">
        <v>47</v>
      </c>
      <c r="L22" s="304" t="s">
        <v>936</v>
      </c>
    </row>
    <row r="23" spans="1:12" ht="60" x14ac:dyDescent="0.25">
      <c r="A23" s="40"/>
      <c r="B23" s="40"/>
      <c r="C23" s="40"/>
      <c r="D23" s="40"/>
      <c r="E23" s="40"/>
      <c r="F23" s="249">
        <v>43663</v>
      </c>
      <c r="G23" s="245" t="s">
        <v>44</v>
      </c>
      <c r="H23" s="245">
        <v>4</v>
      </c>
      <c r="I23" s="245" t="s">
        <v>1017</v>
      </c>
      <c r="J23" s="304" t="s">
        <v>46</v>
      </c>
      <c r="K23" s="304" t="s">
        <v>47</v>
      </c>
      <c r="L23" s="245" t="s">
        <v>1018</v>
      </c>
    </row>
    <row r="24" spans="1:12" ht="60" x14ac:dyDescent="0.25">
      <c r="A24" s="40"/>
      <c r="B24" s="40"/>
      <c r="C24" s="40"/>
      <c r="D24" s="40"/>
      <c r="E24" s="40"/>
      <c r="F24" s="249">
        <v>43777</v>
      </c>
      <c r="G24" s="245" t="s">
        <v>933</v>
      </c>
      <c r="H24" s="245">
        <v>5</v>
      </c>
      <c r="I24" s="245" t="s">
        <v>1071</v>
      </c>
      <c r="J24" s="245" t="s">
        <v>46</v>
      </c>
      <c r="K24" s="245" t="s">
        <v>47</v>
      </c>
      <c r="L24" s="304" t="s">
        <v>1063</v>
      </c>
    </row>
    <row r="25" spans="1:12" x14ac:dyDescent="0.25">
      <c r="A25" s="40"/>
      <c r="B25" s="40"/>
      <c r="C25" s="40"/>
      <c r="D25" s="40"/>
      <c r="E25" s="40"/>
      <c r="F25" s="249"/>
      <c r="G25" s="245"/>
      <c r="H25" s="245"/>
      <c r="I25" s="245"/>
      <c r="J25" s="245"/>
      <c r="K25" s="245"/>
      <c r="L25" s="245"/>
    </row>
    <row r="26" spans="1:12" x14ac:dyDescent="0.25">
      <c r="A26" s="40"/>
      <c r="B26" s="40"/>
      <c r="C26" s="40"/>
      <c r="D26" s="40"/>
      <c r="E26" s="40"/>
      <c r="F26" s="249"/>
      <c r="G26" s="245"/>
      <c r="H26" s="245"/>
      <c r="I26" s="245"/>
      <c r="J26" s="245"/>
      <c r="K26" s="245"/>
      <c r="L26" s="245"/>
    </row>
    <row r="27" spans="1:12" x14ac:dyDescent="0.25">
      <c r="A27" s="40"/>
      <c r="B27" s="40"/>
      <c r="C27" s="40"/>
      <c r="D27" s="40"/>
      <c r="E27" s="40"/>
      <c r="F27" s="249"/>
      <c r="G27" s="245"/>
      <c r="H27" s="245"/>
      <c r="I27" s="245"/>
      <c r="J27" s="245"/>
      <c r="K27" s="245"/>
      <c r="L27" s="245"/>
    </row>
    <row r="28" spans="1:12" x14ac:dyDescent="0.25">
      <c r="A28" s="40"/>
      <c r="B28" s="40"/>
      <c r="C28" s="40"/>
      <c r="D28" s="40"/>
      <c r="E28" s="40"/>
      <c r="F28" s="249"/>
      <c r="G28" s="245"/>
      <c r="H28" s="245"/>
      <c r="I28" s="245"/>
      <c r="J28" s="245"/>
      <c r="K28" s="245"/>
      <c r="L28" s="245"/>
    </row>
    <row r="29" spans="1:12" x14ac:dyDescent="0.25">
      <c r="A29" s="40"/>
      <c r="B29" s="40"/>
      <c r="C29" s="40"/>
      <c r="D29" s="40"/>
      <c r="E29" s="40"/>
      <c r="F29" s="249"/>
      <c r="G29" s="245"/>
      <c r="H29" s="245"/>
      <c r="I29" s="245"/>
      <c r="J29" s="245"/>
      <c r="K29" s="245"/>
      <c r="L29" s="245"/>
    </row>
    <row r="31" spans="1:12" x14ac:dyDescent="0.25">
      <c r="B31" s="41" t="s">
        <v>51</v>
      </c>
      <c r="C31" s="41"/>
      <c r="D31" s="41"/>
      <c r="E31" s="41"/>
      <c r="F31" s="41"/>
      <c r="G31" s="42"/>
      <c r="H31" s="42"/>
      <c r="I31" s="42"/>
      <c r="J31" s="42"/>
      <c r="K31" s="42"/>
      <c r="L31" s="41"/>
    </row>
    <row r="33" spans="5:10" x14ac:dyDescent="0.25">
      <c r="E33" s="32" t="s">
        <v>52</v>
      </c>
      <c r="F33" s="49"/>
      <c r="G33" s="50"/>
      <c r="H33" s="50"/>
      <c r="I33" s="50"/>
      <c r="J33" s="50"/>
    </row>
    <row r="34" spans="5:10" x14ac:dyDescent="0.25">
      <c r="F34" s="6" t="s">
        <v>53</v>
      </c>
      <c r="H34" s="247" t="s">
        <v>54</v>
      </c>
      <c r="I34" s="6" t="s">
        <v>55</v>
      </c>
      <c r="J34" s="51">
        <f>'Fixed inputs'!H172</f>
        <v>0</v>
      </c>
    </row>
    <row r="35" spans="5:10" x14ac:dyDescent="0.25">
      <c r="F35" s="6" t="s">
        <v>56</v>
      </c>
      <c r="H35" s="247" t="s">
        <v>57</v>
      </c>
      <c r="I35" s="6" t="s">
        <v>55</v>
      </c>
      <c r="J35" s="51">
        <f>'Inputs by customer type'!H84</f>
        <v>0</v>
      </c>
    </row>
    <row r="36" spans="5:10" x14ac:dyDescent="0.25">
      <c r="F36" s="6" t="s">
        <v>58</v>
      </c>
      <c r="H36" s="247" t="s">
        <v>59</v>
      </c>
      <c r="I36" s="6" t="s">
        <v>55</v>
      </c>
      <c r="J36" s="52">
        <f>'Inputs by network level'!H56</f>
        <v>0</v>
      </c>
    </row>
    <row r="37" spans="5:10" x14ac:dyDescent="0.25">
      <c r="F37" s="6" t="s">
        <v>60</v>
      </c>
      <c r="H37" s="247" t="s">
        <v>61</v>
      </c>
      <c r="I37" s="6" t="s">
        <v>55</v>
      </c>
      <c r="J37" s="51">
        <f>'General inputs'!H114</f>
        <v>0</v>
      </c>
    </row>
    <row r="38" spans="5:10" x14ac:dyDescent="0.25">
      <c r="F38" s="6" t="s">
        <v>62</v>
      </c>
      <c r="H38" s="247" t="s">
        <v>63</v>
      </c>
      <c r="I38" s="6" t="s">
        <v>55</v>
      </c>
      <c r="J38" s="52">
        <f>'Standing charge factors'!H58</f>
        <v>0</v>
      </c>
    </row>
    <row r="39" spans="5:10" x14ac:dyDescent="0.25">
      <c r="F39" s="6" t="s">
        <v>64</v>
      </c>
      <c r="H39" s="247" t="s">
        <v>65</v>
      </c>
      <c r="I39" s="6" t="s">
        <v>55</v>
      </c>
      <c r="J39" s="52">
        <f>'Load &amp; loss characteristics'!H183</f>
        <v>0</v>
      </c>
    </row>
    <row r="40" spans="5:10" x14ac:dyDescent="0.25">
      <c r="F40" s="6" t="s">
        <v>66</v>
      </c>
      <c r="H40" s="247" t="s">
        <v>67</v>
      </c>
      <c r="I40" s="6" t="s">
        <v>55</v>
      </c>
      <c r="J40" s="52">
        <f>'Customer contributions'!H70</f>
        <v>0</v>
      </c>
    </row>
    <row r="41" spans="5:10" x14ac:dyDescent="0.25">
      <c r="F41" s="6" t="s">
        <v>68</v>
      </c>
      <c r="H41" s="247" t="s">
        <v>69</v>
      </c>
      <c r="I41" s="6" t="s">
        <v>55</v>
      </c>
      <c r="J41" s="52">
        <f>'Volume adjustments'!H140</f>
        <v>0</v>
      </c>
    </row>
    <row r="42" spans="5:10" x14ac:dyDescent="0.25">
      <c r="F42" s="6" t="s">
        <v>70</v>
      </c>
      <c r="H42" s="247" t="s">
        <v>71</v>
      </c>
      <c r="I42" s="6" t="s">
        <v>55</v>
      </c>
      <c r="J42" s="52">
        <f>'Pseudo-load coefficients'!H306</f>
        <v>0</v>
      </c>
    </row>
    <row r="43" spans="5:10" x14ac:dyDescent="0.25">
      <c r="F43" s="6" t="s">
        <v>72</v>
      </c>
      <c r="H43" s="247" t="s">
        <v>73</v>
      </c>
      <c r="I43" s="6" t="s">
        <v>55</v>
      </c>
      <c r="J43" s="52">
        <f>'System peak demand'!H281</f>
        <v>0</v>
      </c>
    </row>
    <row r="44" spans="5:10" x14ac:dyDescent="0.25">
      <c r="F44" s="6" t="s">
        <v>74</v>
      </c>
      <c r="H44" s="247" t="s">
        <v>75</v>
      </c>
      <c r="I44" s="6" t="s">
        <v>55</v>
      </c>
      <c r="J44" s="52">
        <f>'Service model assets'!H38</f>
        <v>0</v>
      </c>
    </row>
    <row r="45" spans="5:10" x14ac:dyDescent="0.25">
      <c r="F45" s="6" t="s">
        <v>76</v>
      </c>
      <c r="H45" s="247" t="s">
        <v>77</v>
      </c>
      <c r="I45" s="6" t="s">
        <v>55</v>
      </c>
      <c r="J45" s="52">
        <f>'Unit costs'!H131</f>
        <v>0</v>
      </c>
    </row>
    <row r="46" spans="5:10" x14ac:dyDescent="0.25">
      <c r="F46" s="6" t="s">
        <v>78</v>
      </c>
      <c r="H46" s="247" t="s">
        <v>79</v>
      </c>
      <c r="I46" s="6" t="s">
        <v>55</v>
      </c>
      <c r="J46" s="52">
        <f>'Initial unit rates'!H241</f>
        <v>0</v>
      </c>
    </row>
    <row r="47" spans="5:10" x14ac:dyDescent="0.25">
      <c r="F47" s="6" t="s">
        <v>80</v>
      </c>
      <c r="H47" s="247" t="s">
        <v>81</v>
      </c>
      <c r="I47" s="6" t="s">
        <v>55</v>
      </c>
      <c r="J47" s="52">
        <f>'Service model charges'!H48</f>
        <v>0</v>
      </c>
    </row>
    <row r="48" spans="5:10" x14ac:dyDescent="0.25">
      <c r="F48" s="6" t="s">
        <v>82</v>
      </c>
      <c r="H48" s="247" t="s">
        <v>83</v>
      </c>
      <c r="I48" s="6" t="s">
        <v>55</v>
      </c>
      <c r="J48" s="52">
        <f>'Unit rate charges'!H223</f>
        <v>0</v>
      </c>
    </row>
    <row r="49" spans="2:12" x14ac:dyDescent="0.25">
      <c r="F49" s="6" t="s">
        <v>84</v>
      </c>
      <c r="H49" s="247" t="s">
        <v>85</v>
      </c>
      <c r="I49" s="6" t="s">
        <v>55</v>
      </c>
      <c r="J49" s="52">
        <f>'Reactive power charges'!H254</f>
        <v>0</v>
      </c>
    </row>
    <row r="50" spans="2:12" x14ac:dyDescent="0.25">
      <c r="F50" s="6" t="s">
        <v>86</v>
      </c>
      <c r="H50" s="247" t="s">
        <v>87</v>
      </c>
      <c r="I50" s="6" t="s">
        <v>55</v>
      </c>
      <c r="J50" s="52">
        <f>'Capacity charges'!H295</f>
        <v>0</v>
      </c>
    </row>
    <row r="51" spans="2:12" x14ac:dyDescent="0.25">
      <c r="F51" s="6" t="s">
        <v>88</v>
      </c>
      <c r="H51" s="247" t="s">
        <v>89</v>
      </c>
      <c r="I51" s="6" t="s">
        <v>55</v>
      </c>
      <c r="J51" s="52">
        <f>'Fixed charges'!H165</f>
        <v>0</v>
      </c>
    </row>
    <row r="52" spans="2:12" x14ac:dyDescent="0.25">
      <c r="F52" s="6" t="s">
        <v>90</v>
      </c>
      <c r="H52" s="247" t="s">
        <v>91</v>
      </c>
      <c r="I52" s="6" t="s">
        <v>55</v>
      </c>
      <c r="J52" s="52">
        <f>'Revenue matching'!H162</f>
        <v>0</v>
      </c>
    </row>
    <row r="53" spans="2:12" x14ac:dyDescent="0.25">
      <c r="F53" s="6" t="s">
        <v>1046</v>
      </c>
      <c r="H53" s="247" t="s">
        <v>93</v>
      </c>
      <c r="I53" s="6" t="s">
        <v>55</v>
      </c>
      <c r="J53" s="52">
        <f>'Fixed charge adder'!H66</f>
        <v>0</v>
      </c>
    </row>
    <row r="54" spans="2:12" x14ac:dyDescent="0.25">
      <c r="F54" s="6" t="s">
        <v>92</v>
      </c>
      <c r="H54" s="247" t="s">
        <v>95</v>
      </c>
      <c r="I54" s="6" t="s">
        <v>55</v>
      </c>
      <c r="J54" s="52">
        <f>Rounding!H158</f>
        <v>0</v>
      </c>
    </row>
    <row r="55" spans="2:12" x14ac:dyDescent="0.25">
      <c r="F55" s="6" t="s">
        <v>94</v>
      </c>
      <c r="H55" s="247" t="s">
        <v>1047</v>
      </c>
      <c r="I55" s="6" t="s">
        <v>55</v>
      </c>
      <c r="J55" s="51">
        <f>'Net revenue summary'!$H$199</f>
        <v>0</v>
      </c>
    </row>
    <row r="56" spans="2:12" x14ac:dyDescent="0.25">
      <c r="F56" s="6" t="s">
        <v>96</v>
      </c>
      <c r="H56" s="247" t="s">
        <v>97</v>
      </c>
      <c r="I56" s="6" t="s">
        <v>55</v>
      </c>
      <c r="J56" s="52">
        <f>'Tariff summary'!$H$71</f>
        <v>0</v>
      </c>
    </row>
    <row r="57" spans="2:12" x14ac:dyDescent="0.25">
      <c r="F57" s="6" t="s">
        <v>98</v>
      </c>
      <c r="H57" s="247" t="s">
        <v>99</v>
      </c>
      <c r="I57" s="6" t="s">
        <v>55</v>
      </c>
      <c r="J57" s="51">
        <f>'Output to other models'!H78</f>
        <v>0</v>
      </c>
    </row>
    <row r="58" spans="2:12" x14ac:dyDescent="0.25">
      <c r="F58" s="53" t="s">
        <v>100</v>
      </c>
      <c r="G58" s="53"/>
      <c r="H58" s="53"/>
      <c r="I58" s="53" t="s">
        <v>55</v>
      </c>
      <c r="J58" s="54">
        <f>IFERROR(SUM(J34:J57), 1)</f>
        <v>0</v>
      </c>
    </row>
    <row r="60" spans="2:12" x14ac:dyDescent="0.25">
      <c r="B60" s="41" t="s">
        <v>101</v>
      </c>
      <c r="C60" s="41"/>
      <c r="D60" s="41"/>
      <c r="E60" s="41"/>
      <c r="F60" s="41"/>
      <c r="G60" s="42"/>
      <c r="H60" s="42"/>
      <c r="I60" s="42"/>
      <c r="J60" s="42"/>
      <c r="K60" s="42"/>
      <c r="L60" s="41"/>
    </row>
    <row r="62" spans="2:12" x14ac:dyDescent="0.25">
      <c r="F62" s="48" t="s">
        <v>102</v>
      </c>
    </row>
    <row r="63" spans="2:12" x14ac:dyDescent="0.25">
      <c r="F63" s="247" t="s">
        <v>103</v>
      </c>
    </row>
    <row r="64" spans="2:12" x14ac:dyDescent="0.25">
      <c r="F64" s="247" t="s">
        <v>104</v>
      </c>
    </row>
    <row r="65" spans="2:12" x14ac:dyDescent="0.25">
      <c r="F65" s="247" t="s">
        <v>44</v>
      </c>
    </row>
    <row r="66" spans="2:12" ht="30" x14ac:dyDescent="0.25">
      <c r="F66" s="305" t="s">
        <v>933</v>
      </c>
    </row>
    <row r="67" spans="2:12" x14ac:dyDescent="0.25">
      <c r="F67" s="247"/>
    </row>
    <row r="68" spans="2:12" x14ac:dyDescent="0.25">
      <c r="F68" s="247"/>
    </row>
    <row r="69" spans="2:12" x14ac:dyDescent="0.25">
      <c r="F69" s="247"/>
    </row>
    <row r="70" spans="2:12" x14ac:dyDescent="0.25">
      <c r="F70" s="247"/>
    </row>
    <row r="71" spans="2:12" x14ac:dyDescent="0.25">
      <c r="F71" s="247"/>
    </row>
    <row r="72" spans="2:12" x14ac:dyDescent="0.25">
      <c r="F72" s="247"/>
    </row>
    <row r="73" spans="2:12" x14ac:dyDescent="0.25">
      <c r="F73" s="247" t="s">
        <v>105</v>
      </c>
    </row>
    <row r="75" spans="2:12" x14ac:dyDescent="0.25">
      <c r="B75" s="41" t="s">
        <v>106</v>
      </c>
      <c r="C75" s="41"/>
      <c r="D75" s="41"/>
      <c r="E75" s="41"/>
      <c r="F75" s="41"/>
      <c r="G75" s="42"/>
      <c r="H75" s="42"/>
      <c r="I75" s="42"/>
      <c r="J75" s="42"/>
      <c r="K75" s="42"/>
      <c r="L75" s="41"/>
    </row>
  </sheetData>
  <sheetProtection sheet="1" objects="1" formatCells="0" formatColumns="0" formatRows="0" sort="0" autoFilter="0"/>
  <dataConsolidate/>
  <phoneticPr fontId="39" type="noConversion"/>
  <conditionalFormatting sqref="J34:J58">
    <cfRule type="cellIs" dxfId="226" priority="2" operator="greaterThan">
      <formula>0</formula>
    </cfRule>
  </conditionalFormatting>
  <conditionalFormatting sqref="A4:XFD4">
    <cfRule type="expression" dxfId="225" priority="1">
      <formula>LEFT($A$4,1) &lt;&gt; "0"</formula>
    </cfRule>
  </conditionalFormatting>
  <dataValidations count="3">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29">
      <formula1>0</formula1>
    </dataValidation>
    <dataValidation type="date" operator="greaterThan" allowBlank="1" showInputMessage="1" showErrorMessage="1" promptTitle="Model date" prompt="Input a date" sqref="F20:F29">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9">
      <formula1>$F$63:$F$73</formula1>
    </dataValidation>
  </dataValidations>
  <hyperlinks>
    <hyperlink ref="I63" location="'Cover'!A1" display="Cover"/>
    <hyperlink ref="I64" location="'Version control'!A1" display="Version control"/>
    <hyperlink ref="I73" location="'Model map'!A1" display="Model map"/>
    <hyperlink ref="I74"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KZ26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2" width="24.5703125" hidden="1" customWidth="1"/>
    <col min="313" max="16384" width="8.5703125" hidden="1"/>
  </cols>
  <sheetData>
    <row r="1" spans="1:27" s="1" customFormat="1" x14ac:dyDescent="0.25">
      <c r="A1" s="1" t="str">
        <f ca="1">MID(CELL("filename",A1),FIND("]",CELL("filename",A1))+1,255)</f>
        <v>Unit rate charges</v>
      </c>
    </row>
    <row r="2" spans="1:27" s="1" customFormat="1" x14ac:dyDescent="0.25">
      <c r="A2" s="1" t="str">
        <f>Cover!D21&amp;" - "&amp;Cover!D23</f>
        <v>WPD East Midlands - April 21 Prices</v>
      </c>
    </row>
    <row r="3" spans="1:27" s="5" customFormat="1" x14ac:dyDescent="0.25">
      <c r="A3" s="5" t="str">
        <f>Cover!D2&amp;" - "&amp;Cover!D8&amp;" v"&amp;Cover!D10&amp;" - "&amp;Cover!D19</f>
        <v>CDCM charging model - Release for charge setting v5 - 2021/22</v>
      </c>
    </row>
    <row r="4" spans="1:27" x14ac:dyDescent="0.25">
      <c r="A4" s="12" t="str">
        <f>H223 &amp; IF(H223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647</v>
      </c>
      <c r="D9"/>
    </row>
    <row r="10" spans="1:27" x14ac:dyDescent="0.25">
      <c r="C10" s="29" t="s">
        <v>648</v>
      </c>
      <c r="D10"/>
      <c r="E10"/>
    </row>
    <row r="11" spans="1:27" x14ac:dyDescent="0.25">
      <c r="C11" s="29" t="s">
        <v>649</v>
      </c>
      <c r="D11"/>
      <c r="E11"/>
    </row>
    <row r="12" spans="1:27" x14ac:dyDescent="0.25">
      <c r="C12" s="29" t="s">
        <v>650</v>
      </c>
    </row>
    <row r="13" spans="1:27" x14ac:dyDescent="0.25">
      <c r="C13" s="29" t="s">
        <v>651</v>
      </c>
      <c r="D13"/>
    </row>
    <row r="15" spans="1:27" x14ac:dyDescent="0.25">
      <c r="B15" s="30" t="s">
        <v>652</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row>
    <row r="17" spans="3:27" x14ac:dyDescent="0.25">
      <c r="C17" s="29" t="s">
        <v>653</v>
      </c>
    </row>
    <row r="19" spans="3:27" x14ac:dyDescent="0.25">
      <c r="C19" s="31" t="str">
        <f ca="1">INDEX('Version control'!$H$34:$H$57,MATCH($A$1,'Version control'!$F$34:$F$57,0),1)&amp;"-A: Initial unit rate 1"</f>
        <v>Section 111-A: Initial unit rate 1</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3:27" x14ac:dyDescent="0.25">
      <c r="C20" s="32"/>
      <c r="D20"/>
      <c r="E20" s="32"/>
    </row>
    <row r="21" spans="3:27" x14ac:dyDescent="0.25">
      <c r="D21"/>
      <c r="E21" s="32" t="s">
        <v>621</v>
      </c>
    </row>
    <row r="22" spans="3:27" x14ac:dyDescent="0.25">
      <c r="D22"/>
      <c r="F22" s="23" t="s">
        <v>189</v>
      </c>
      <c r="G22" s="23" t="s">
        <v>269</v>
      </c>
      <c r="H22" s="267"/>
      <c r="I22" s="267"/>
      <c r="J22" s="283">
        <f>'Initial unit rates'!J152</f>
        <v>0</v>
      </c>
      <c r="K22" s="283">
        <f>'Initial unit rates'!K152</f>
        <v>0</v>
      </c>
      <c r="L22" s="283">
        <f>'Initial unit rates'!L152</f>
        <v>0</v>
      </c>
      <c r="M22" s="283">
        <f>'Initial unit rates'!M152</f>
        <v>0</v>
      </c>
      <c r="N22" s="283">
        <f>'Initial unit rates'!N152</f>
        <v>0</v>
      </c>
      <c r="O22" s="283">
        <f>'Initial unit rates'!O152</f>
        <v>0</v>
      </c>
      <c r="P22" s="283">
        <f>'Initial unit rates'!P152</f>
        <v>0</v>
      </c>
      <c r="Q22" s="283">
        <f>'Initial unit rates'!Q152</f>
        <v>0</v>
      </c>
      <c r="R22" s="283">
        <f>'Initial unit rates'!R152</f>
        <v>0</v>
      </c>
      <c r="S22" s="283">
        <f>'Initial unit rates'!S152</f>
        <v>0</v>
      </c>
      <c r="T22" s="283">
        <f>'Initial unit rates'!T152</f>
        <v>0</v>
      </c>
      <c r="U22" s="283">
        <f>'Initial unit rates'!U152</f>
        <v>0</v>
      </c>
      <c r="V22" s="283">
        <f>'Initial unit rates'!V152</f>
        <v>0</v>
      </c>
      <c r="W22" s="283">
        <f>'Initial unit rates'!W152</f>
        <v>0</v>
      </c>
      <c r="X22" s="283">
        <f>'Initial unit rates'!X152</f>
        <v>0</v>
      </c>
      <c r="Y22" s="283">
        <f>'Initial unit rates'!Y152</f>
        <v>0</v>
      </c>
      <c r="Z22" s="269"/>
      <c r="AA22" s="269"/>
    </row>
    <row r="23" spans="3:27" x14ac:dyDescent="0.25">
      <c r="D23"/>
      <c r="F23" t="s">
        <v>191</v>
      </c>
      <c r="G23" t="s">
        <v>269</v>
      </c>
      <c r="H23" s="269"/>
      <c r="I23" s="269"/>
      <c r="J23" s="284">
        <f>'Initial unit rates'!J153</f>
        <v>0</v>
      </c>
      <c r="K23" s="284">
        <f>'Initial unit rates'!K153</f>
        <v>0</v>
      </c>
      <c r="L23" s="284">
        <f>'Initial unit rates'!L153</f>
        <v>0</v>
      </c>
      <c r="M23" s="284">
        <f>'Initial unit rates'!M153</f>
        <v>0</v>
      </c>
      <c r="N23" s="284">
        <f>'Initial unit rates'!N153</f>
        <v>0</v>
      </c>
      <c r="O23" s="284">
        <f>'Initial unit rates'!O153</f>
        <v>0</v>
      </c>
      <c r="P23" s="284">
        <f>'Initial unit rates'!P153</f>
        <v>0</v>
      </c>
      <c r="Q23" s="284">
        <f>'Initial unit rates'!Q153</f>
        <v>0</v>
      </c>
      <c r="R23" s="284">
        <f>'Initial unit rates'!R153</f>
        <v>0</v>
      </c>
      <c r="S23" s="284">
        <f>'Initial unit rates'!S153</f>
        <v>0</v>
      </c>
      <c r="T23" s="284">
        <f>'Initial unit rates'!T153</f>
        <v>0</v>
      </c>
      <c r="U23" s="284">
        <f>'Initial unit rates'!U153</f>
        <v>0</v>
      </c>
      <c r="V23" s="284">
        <f>'Initial unit rates'!V153</f>
        <v>0</v>
      </c>
      <c r="W23" s="284">
        <f>'Initial unit rates'!W153</f>
        <v>0</v>
      </c>
      <c r="X23" s="284">
        <f>'Initial unit rates'!X153</f>
        <v>0</v>
      </c>
      <c r="Y23" s="284">
        <f>'Initial unit rates'!Y153</f>
        <v>0</v>
      </c>
      <c r="Z23" s="269"/>
      <c r="AA23" s="269"/>
    </row>
    <row r="24" spans="3:27" x14ac:dyDescent="0.25">
      <c r="D24"/>
      <c r="F24" t="s">
        <v>192</v>
      </c>
      <c r="G24" t="s">
        <v>269</v>
      </c>
      <c r="H24" s="269"/>
      <c r="I24" s="269"/>
      <c r="J24" s="284">
        <f>'Initial unit rates'!J154</f>
        <v>0.89398047279443305</v>
      </c>
      <c r="K24" s="284">
        <f>'Initial unit rates'!K154</f>
        <v>0.89398047279443305</v>
      </c>
      <c r="L24" s="284">
        <f>'Initial unit rates'!L154</f>
        <v>0.77439593033882681</v>
      </c>
      <c r="M24" s="284">
        <f>'Initial unit rates'!M154</f>
        <v>0.77439593033882681</v>
      </c>
      <c r="N24" s="284">
        <f>'Initial unit rates'!N154</f>
        <v>0.65830900485297139</v>
      </c>
      <c r="O24" s="284">
        <f>'Initial unit rates'!O154</f>
        <v>0.58822611294784044</v>
      </c>
      <c r="P24" s="284">
        <f>'Initial unit rates'!P154</f>
        <v>0.53021538714983352</v>
      </c>
      <c r="Q24" s="284">
        <f>'Initial unit rates'!Q154</f>
        <v>1.9997866875583974</v>
      </c>
      <c r="R24" s="284">
        <f>'Initial unit rates'!R154</f>
        <v>-0.53986853552709124</v>
      </c>
      <c r="S24" s="284">
        <f>'Initial unit rates'!S154</f>
        <v>-0.52434355908800045</v>
      </c>
      <c r="T24" s="284">
        <f>'Initial unit rates'!T154</f>
        <v>-0.53986853552709124</v>
      </c>
      <c r="U24" s="284">
        <f>'Initial unit rates'!U154</f>
        <v>-0.53986853552709124</v>
      </c>
      <c r="V24" s="284">
        <f>'Initial unit rates'!V154</f>
        <v>-0.52434355908800045</v>
      </c>
      <c r="W24" s="284">
        <f>'Initial unit rates'!W154</f>
        <v>-0.52434355908800045</v>
      </c>
      <c r="X24" s="284">
        <f>'Initial unit rates'!X154</f>
        <v>-0.51883469648058123</v>
      </c>
      <c r="Y24" s="284">
        <f>'Initial unit rates'!Y154</f>
        <v>-0.51883469648058123</v>
      </c>
      <c r="Z24" s="269"/>
      <c r="AA24" s="269"/>
    </row>
    <row r="25" spans="3:27" x14ac:dyDescent="0.25">
      <c r="D25"/>
      <c r="F25" t="s">
        <v>193</v>
      </c>
      <c r="G25" t="s">
        <v>269</v>
      </c>
      <c r="H25" s="269"/>
      <c r="I25" s="269"/>
      <c r="J25" s="284">
        <f>'Initial unit rates'!J155</f>
        <v>0.46709645533134908</v>
      </c>
      <c r="K25" s="284">
        <f>'Initial unit rates'!K155</f>
        <v>0.46709645533134908</v>
      </c>
      <c r="L25" s="284">
        <f>'Initial unit rates'!L155</f>
        <v>0.40461464773790839</v>
      </c>
      <c r="M25" s="284">
        <f>'Initial unit rates'!M155</f>
        <v>0.40461464773790839</v>
      </c>
      <c r="N25" s="284">
        <f>'Initial unit rates'!N155</f>
        <v>0.34396031237500835</v>
      </c>
      <c r="O25" s="284">
        <f>'Initial unit rates'!O155</f>
        <v>0.30734265529584281</v>
      </c>
      <c r="P25" s="284">
        <f>'Initial unit rates'!P155</f>
        <v>0.27703259236264643</v>
      </c>
      <c r="Q25" s="284">
        <f>'Initial unit rates'!Q155</f>
        <v>1.044869884302426</v>
      </c>
      <c r="R25" s="284">
        <f>'Initial unit rates'!R155</f>
        <v>-0.28207627231653903</v>
      </c>
      <c r="S25" s="284">
        <f>'Initial unit rates'!S155</f>
        <v>-0.2739646169901821</v>
      </c>
      <c r="T25" s="284">
        <f>'Initial unit rates'!T155</f>
        <v>-0.28207627231653903</v>
      </c>
      <c r="U25" s="284">
        <f>'Initial unit rates'!U155</f>
        <v>-0.28207627231653903</v>
      </c>
      <c r="V25" s="284">
        <f>'Initial unit rates'!V155</f>
        <v>-0.2739646169901821</v>
      </c>
      <c r="W25" s="284">
        <f>'Initial unit rates'!W155</f>
        <v>-0.2739646169901821</v>
      </c>
      <c r="X25" s="284">
        <f>'Initial unit rates'!X155</f>
        <v>-0.27108628768082965</v>
      </c>
      <c r="Y25" s="284">
        <f>'Initial unit rates'!Y155</f>
        <v>-0.27108628768082965</v>
      </c>
      <c r="Z25" s="269"/>
      <c r="AA25" s="269"/>
    </row>
    <row r="26" spans="3:27" x14ac:dyDescent="0.25">
      <c r="D26"/>
      <c r="F26" t="s">
        <v>194</v>
      </c>
      <c r="G26" t="s">
        <v>269</v>
      </c>
      <c r="H26" s="269"/>
      <c r="I26" s="269"/>
      <c r="J26" s="284">
        <f>'Initial unit rates'!J156</f>
        <v>0.484851598431702</v>
      </c>
      <c r="K26" s="284">
        <f>'Initial unit rates'!K156</f>
        <v>0.484851598431702</v>
      </c>
      <c r="L26" s="284">
        <f>'Initial unit rates'!L156</f>
        <v>0.41999474940446735</v>
      </c>
      <c r="M26" s="284">
        <f>'Initial unit rates'!M156</f>
        <v>0.41999474940446735</v>
      </c>
      <c r="N26" s="284">
        <f>'Initial unit rates'!N156</f>
        <v>0.35703483798391744</v>
      </c>
      <c r="O26" s="284">
        <f>'Initial unit rates'!O156</f>
        <v>0.31902528050812179</v>
      </c>
      <c r="P26" s="284">
        <f>'Initial unit rates'!P156</f>
        <v>0.26875068879894665</v>
      </c>
      <c r="Q26" s="284">
        <f>'Initial unit rates'!Q156</f>
        <v>1.0930378277323229</v>
      </c>
      <c r="R26" s="284">
        <f>'Initial unit rates'!R156</f>
        <v>-0.29279847866820463</v>
      </c>
      <c r="S26" s="284">
        <f>'Initial unit rates'!S156</f>
        <v>-0.2843784853113267</v>
      </c>
      <c r="T26" s="284">
        <f>'Initial unit rates'!T156</f>
        <v>-0.29279847866820463</v>
      </c>
      <c r="U26" s="284">
        <f>'Initial unit rates'!U156</f>
        <v>-0.29279847866820463</v>
      </c>
      <c r="V26" s="284">
        <f>'Initial unit rates'!V156</f>
        <v>-0.2843784853113267</v>
      </c>
      <c r="W26" s="284">
        <f>'Initial unit rates'!W156</f>
        <v>-0.2843784853113267</v>
      </c>
      <c r="X26" s="284">
        <f>'Initial unit rates'!X156</f>
        <v>-0.26298214920070789</v>
      </c>
      <c r="Y26" s="284">
        <f>'Initial unit rates'!Y156</f>
        <v>-0.26298214920070789</v>
      </c>
      <c r="Z26" s="269"/>
      <c r="AA26" s="269"/>
    </row>
    <row r="27" spans="3:27" x14ac:dyDescent="0.25">
      <c r="D27"/>
      <c r="F27" t="s">
        <v>195</v>
      </c>
      <c r="G27" t="s">
        <v>269</v>
      </c>
      <c r="H27" s="269"/>
      <c r="I27" s="269"/>
      <c r="J27" s="284">
        <f>'Initial unit rates'!J157</f>
        <v>0.77998774034573082</v>
      </c>
      <c r="K27" s="284">
        <f>'Initial unit rates'!K157</f>
        <v>0.77998774034573082</v>
      </c>
      <c r="L27" s="284">
        <f>'Initial unit rates'!L157</f>
        <v>0.67565159443566858</v>
      </c>
      <c r="M27" s="284">
        <f>'Initial unit rates'!M157</f>
        <v>0.67565159443566858</v>
      </c>
      <c r="N27" s="284">
        <f>'Initial unit rates'!N157</f>
        <v>0.57436707933841724</v>
      </c>
      <c r="O27" s="284">
        <f>'Initial unit rates'!O157</f>
        <v>0.51322055750991757</v>
      </c>
      <c r="P27" s="284">
        <f>'Initial unit rates'!P157</f>
        <v>0.29994058594511036</v>
      </c>
      <c r="Q27" s="284">
        <f>'Initial unit rates'!Q157</f>
        <v>1.758385675375751</v>
      </c>
      <c r="R27" s="284">
        <f>'Initial unit rates'!R157</f>
        <v>-0.47102912415220366</v>
      </c>
      <c r="S27" s="284">
        <f>'Initial unit rates'!S157</f>
        <v>-0.45748375972853172</v>
      </c>
      <c r="T27" s="284">
        <f>'Initial unit rates'!T157</f>
        <v>-0.47102912415220366</v>
      </c>
      <c r="U27" s="284">
        <f>'Initial unit rates'!U157</f>
        <v>-0.47102912415220366</v>
      </c>
      <c r="V27" s="284">
        <f>'Initial unit rates'!V157</f>
        <v>-0.45748375972853172</v>
      </c>
      <c r="W27" s="284">
        <f>'Initial unit rates'!W157</f>
        <v>-0.45748375972853172</v>
      </c>
      <c r="X27" s="284">
        <f>'Initial unit rates'!X157</f>
        <v>-0.29350257771199401</v>
      </c>
      <c r="Y27" s="284">
        <f>'Initial unit rates'!Y157</f>
        <v>-0.29350257771199401</v>
      </c>
      <c r="Z27" s="269"/>
      <c r="AA27" s="269"/>
    </row>
    <row r="28" spans="3:27" x14ac:dyDescent="0.25">
      <c r="D28"/>
      <c r="F28" t="s">
        <v>196</v>
      </c>
      <c r="G28" t="s">
        <v>269</v>
      </c>
      <c r="H28" s="269"/>
      <c r="I28" s="269"/>
      <c r="J28" s="284">
        <f>'Initial unit rates'!J158</f>
        <v>7.8167984019099218E-2</v>
      </c>
      <c r="K28" s="284">
        <f>'Initial unit rates'!K158</f>
        <v>7.8167984019099218E-2</v>
      </c>
      <c r="L28" s="284">
        <f>'Initial unit rates'!L158</f>
        <v>6.7711734818955246E-2</v>
      </c>
      <c r="M28" s="284">
        <f>'Initial unit rates'!M158</f>
        <v>6.7711734818955246E-2</v>
      </c>
      <c r="N28" s="284">
        <f>'Initial unit rates'!N158</f>
        <v>5.7561310718706134E-2</v>
      </c>
      <c r="O28" s="284">
        <f>'Initial unit rates'!O158</f>
        <v>5.1433393452987239E-2</v>
      </c>
      <c r="P28" s="284">
        <f>'Initial unit rates'!P158</f>
        <v>3.0059127491470918E-2</v>
      </c>
      <c r="Q28" s="284">
        <f>'Initial unit rates'!Q158</f>
        <v>0.17485761556518595</v>
      </c>
      <c r="R28" s="284">
        <f>'Initial unit rates'!R158</f>
        <v>-4.7205097137731293E-2</v>
      </c>
      <c r="S28" s="284">
        <f>'Initial unit rates'!S158</f>
        <v>-4.584762217365923E-2</v>
      </c>
      <c r="T28" s="284">
        <f>'Initial unit rates'!T158</f>
        <v>-4.7205097137731293E-2</v>
      </c>
      <c r="U28" s="284">
        <f>'Initial unit rates'!U158</f>
        <v>-4.7205097137731293E-2</v>
      </c>
      <c r="V28" s="284">
        <f>'Initial unit rates'!V158</f>
        <v>-4.584762217365923E-2</v>
      </c>
      <c r="W28" s="284">
        <f>'Initial unit rates'!W158</f>
        <v>-4.584762217365923E-2</v>
      </c>
      <c r="X28" s="284">
        <f>'Initial unit rates'!X158</f>
        <v>-2.941393001124129E-2</v>
      </c>
      <c r="Y28" s="284">
        <f>'Initial unit rates'!Y158</f>
        <v>-2.941393001124129E-2</v>
      </c>
      <c r="Z28" s="269"/>
      <c r="AA28" s="269"/>
    </row>
    <row r="29" spans="3:27" x14ac:dyDescent="0.25">
      <c r="D29"/>
      <c r="F29" t="s">
        <v>197</v>
      </c>
      <c r="G29" t="s">
        <v>269</v>
      </c>
      <c r="H29" s="269"/>
      <c r="I29" s="269"/>
      <c r="J29" s="284">
        <f>'Initial unit rates'!J159</f>
        <v>0.93597530050599564</v>
      </c>
      <c r="K29" s="284">
        <f>'Initial unit rates'!K159</f>
        <v>0.93597530050599564</v>
      </c>
      <c r="L29" s="284">
        <f>'Initial unit rates'!L159</f>
        <v>0.8107732614604567</v>
      </c>
      <c r="M29" s="284">
        <f>'Initial unit rates'!M159</f>
        <v>0.8107732614604567</v>
      </c>
      <c r="N29" s="284">
        <f>'Initial unit rates'!N159</f>
        <v>0.68923314031350935</v>
      </c>
      <c r="O29" s="284">
        <f>'Initial unit rates'!O159</f>
        <v>0.61585809711352468</v>
      </c>
      <c r="P29" s="284">
        <f>'Initial unit rates'!P159</f>
        <v>0.38597903646714832</v>
      </c>
      <c r="Q29" s="284">
        <f>'Initial unit rates'!Q159</f>
        <v>2.1100402939484031</v>
      </c>
      <c r="R29" s="284">
        <f>'Initial unit rates'!R159</f>
        <v>-0.56522891735454417</v>
      </c>
      <c r="S29" s="284">
        <f>'Initial unit rates'!S159</f>
        <v>-0.54897465349740981</v>
      </c>
      <c r="T29" s="284">
        <f>'Initial unit rates'!T159</f>
        <v>-0.56522891735454417</v>
      </c>
      <c r="U29" s="284">
        <f>'Initial unit rates'!U159</f>
        <v>-0.56522891735454417</v>
      </c>
      <c r="V29" s="284">
        <f>'Initial unit rates'!V159</f>
        <v>-0.54897465349740981</v>
      </c>
      <c r="W29" s="284">
        <f>'Initial unit rates'!W159</f>
        <v>-0.54897465349740981</v>
      </c>
      <c r="X29" s="284">
        <f>'Initial unit rates'!X159</f>
        <v>0</v>
      </c>
      <c r="Y29" s="284">
        <f>'Initial unit rates'!Y159</f>
        <v>0</v>
      </c>
      <c r="Z29" s="269"/>
      <c r="AA29" s="269"/>
    </row>
    <row r="30" spans="3:27" x14ac:dyDescent="0.25">
      <c r="D30"/>
      <c r="F30" t="s">
        <v>198</v>
      </c>
      <c r="G30" t="s">
        <v>269</v>
      </c>
      <c r="H30" s="269"/>
      <c r="I30" s="269"/>
      <c r="J30" s="284">
        <f>'Initial unit rates'!J160</f>
        <v>0.23942802937698057</v>
      </c>
      <c r="K30" s="284">
        <f>'Initial unit rates'!K160</f>
        <v>0.23942802937698057</v>
      </c>
      <c r="L30" s="284">
        <f>'Initial unit rates'!L160</f>
        <v>0.20740060571906194</v>
      </c>
      <c r="M30" s="284">
        <f>'Initial unit rates'!M160</f>
        <v>0.20740060571906194</v>
      </c>
      <c r="N30" s="284">
        <f>'Initial unit rates'!N160</f>
        <v>0.17630992236371987</v>
      </c>
      <c r="O30" s="284">
        <f>'Initial unit rates'!O160</f>
        <v>0.15754015142069852</v>
      </c>
      <c r="P30" s="284">
        <f>'Initial unit rates'!P160</f>
        <v>0</v>
      </c>
      <c r="Q30" s="284">
        <f>'Initial unit rates'!Q160</f>
        <v>0.53976081336011139</v>
      </c>
      <c r="R30" s="284">
        <f>'Initial unit rates'!R160</f>
        <v>-0.14458890716017969</v>
      </c>
      <c r="S30" s="284">
        <f>'Initial unit rates'!S160</f>
        <v>0</v>
      </c>
      <c r="T30" s="284">
        <f>'Initial unit rates'!T160</f>
        <v>-0.14458890716017969</v>
      </c>
      <c r="U30" s="284">
        <f>'Initial unit rates'!U160</f>
        <v>-0.14458890716017969</v>
      </c>
      <c r="V30" s="284">
        <f>'Initial unit rates'!V160</f>
        <v>0</v>
      </c>
      <c r="W30" s="284">
        <f>'Initial unit rates'!W160</f>
        <v>0</v>
      </c>
      <c r="X30" s="284">
        <f>'Initial unit rates'!X160</f>
        <v>0</v>
      </c>
      <c r="Y30" s="284">
        <f>'Initial unit rates'!Y160</f>
        <v>0</v>
      </c>
      <c r="Z30" s="269"/>
      <c r="AA30" s="269"/>
    </row>
    <row r="31" spans="3:27" x14ac:dyDescent="0.25">
      <c r="D31"/>
      <c r="F31" t="s">
        <v>199</v>
      </c>
      <c r="G31" t="s">
        <v>269</v>
      </c>
      <c r="H31" s="269"/>
      <c r="I31" s="269"/>
      <c r="J31" s="284">
        <f>'Initial unit rates'!J161</f>
        <v>0.10048025602880908</v>
      </c>
      <c r="K31" s="284">
        <f>'Initial unit rates'!K161</f>
        <v>0.10048025602880908</v>
      </c>
      <c r="L31" s="284">
        <f>'Initial unit rates'!L161</f>
        <v>8.7039374702321412E-2</v>
      </c>
      <c r="M31" s="284">
        <f>'Initial unit rates'!M161</f>
        <v>8.7039374702321412E-2</v>
      </c>
      <c r="N31" s="284">
        <f>'Initial unit rates'!N161</f>
        <v>7.3991613202615589E-2</v>
      </c>
      <c r="O31" s="284">
        <f>'Initial unit rates'!O161</f>
        <v>0</v>
      </c>
      <c r="P31" s="284">
        <f>'Initial unit rates'!P161</f>
        <v>0</v>
      </c>
      <c r="Q31" s="284">
        <f>'Initial unit rates'!Q161</f>
        <v>0.22652028194806087</v>
      </c>
      <c r="R31" s="284">
        <f>'Initial unit rates'!R161</f>
        <v>0</v>
      </c>
      <c r="S31" s="284">
        <f>'Initial unit rates'!S161</f>
        <v>0</v>
      </c>
      <c r="T31" s="284">
        <f>'Initial unit rates'!T161</f>
        <v>0</v>
      </c>
      <c r="U31" s="284">
        <f>'Initial unit rates'!U161</f>
        <v>0</v>
      </c>
      <c r="V31" s="284">
        <f>'Initial unit rates'!V161</f>
        <v>0</v>
      </c>
      <c r="W31" s="284">
        <f>'Initial unit rates'!W161</f>
        <v>0</v>
      </c>
      <c r="X31" s="284">
        <f>'Initial unit rates'!X161</f>
        <v>0</v>
      </c>
      <c r="Y31" s="284">
        <f>'Initial unit rates'!Y161</f>
        <v>0</v>
      </c>
      <c r="Z31" s="269"/>
      <c r="AA31" s="269"/>
    </row>
    <row r="32" spans="3:27" x14ac:dyDescent="0.25">
      <c r="D32"/>
      <c r="F32" s="23" t="s">
        <v>376</v>
      </c>
      <c r="G32" s="23" t="s">
        <v>269</v>
      </c>
      <c r="H32" s="267"/>
      <c r="I32" s="267"/>
      <c r="J32" s="285"/>
      <c r="K32" s="285"/>
      <c r="L32" s="285"/>
      <c r="M32" s="285"/>
      <c r="N32" s="285"/>
      <c r="O32" s="285"/>
      <c r="P32" s="285"/>
      <c r="Q32" s="285"/>
      <c r="R32" s="285"/>
      <c r="S32" s="285"/>
      <c r="T32" s="285"/>
      <c r="U32" s="285"/>
      <c r="V32" s="285"/>
      <c r="W32" s="285"/>
      <c r="X32" s="285"/>
      <c r="Y32" s="285"/>
      <c r="Z32" s="269"/>
      <c r="AA32" s="269"/>
    </row>
    <row r="33" spans="4:27" x14ac:dyDescent="0.25">
      <c r="D33"/>
      <c r="F33" s="37" t="s">
        <v>377</v>
      </c>
      <c r="G33" s="37" t="s">
        <v>269</v>
      </c>
      <c r="H33" s="273"/>
      <c r="I33" s="273"/>
      <c r="J33" s="274"/>
      <c r="K33" s="274"/>
      <c r="L33" s="274"/>
      <c r="M33" s="274"/>
      <c r="N33" s="274"/>
      <c r="O33" s="274"/>
      <c r="P33" s="274"/>
      <c r="Q33" s="274"/>
      <c r="R33" s="274"/>
      <c r="S33" s="274"/>
      <c r="T33" s="274"/>
      <c r="U33" s="274"/>
      <c r="V33" s="274"/>
      <c r="W33" s="274"/>
      <c r="X33" s="274"/>
      <c r="Y33" s="274"/>
      <c r="Z33" s="269"/>
      <c r="AA33" s="269"/>
    </row>
    <row r="34" spans="4:27" x14ac:dyDescent="0.25">
      <c r="D34"/>
      <c r="J34" s="89"/>
      <c r="K34" s="89"/>
      <c r="L34" s="89"/>
      <c r="M34" s="89"/>
      <c r="N34" s="89"/>
      <c r="O34" s="89"/>
      <c r="P34" s="89"/>
      <c r="Q34" s="89"/>
      <c r="R34" s="89"/>
      <c r="S34" s="89"/>
      <c r="T34" s="89"/>
      <c r="U34" s="89"/>
      <c r="V34" s="89"/>
      <c r="W34" s="89"/>
      <c r="X34" s="89"/>
      <c r="Y34" s="89"/>
    </row>
    <row r="35" spans="4:27" x14ac:dyDescent="0.25">
      <c r="D35"/>
      <c r="E35" s="32" t="s">
        <v>622</v>
      </c>
      <c r="J35" s="89"/>
      <c r="K35" s="89"/>
      <c r="L35" s="89"/>
      <c r="M35" s="89"/>
      <c r="N35" s="89"/>
      <c r="O35" s="89"/>
      <c r="P35" s="89"/>
      <c r="Q35" s="89"/>
      <c r="R35" s="89"/>
      <c r="S35" s="89"/>
      <c r="T35" s="89"/>
      <c r="U35" s="89"/>
      <c r="V35" s="89"/>
      <c r="W35" s="89"/>
      <c r="X35" s="89"/>
      <c r="Y35" s="89"/>
    </row>
    <row r="36" spans="4:27" x14ac:dyDescent="0.25">
      <c r="D36"/>
      <c r="F36" s="23" t="s">
        <v>189</v>
      </c>
      <c r="G36" s="23" t="s">
        <v>269</v>
      </c>
      <c r="H36" s="267"/>
      <c r="I36" s="267"/>
      <c r="J36" s="283">
        <f>'Initial unit rates'!J164</f>
        <v>0.60970379669854136</v>
      </c>
      <c r="K36" s="283">
        <f>'Initial unit rates'!K164</f>
        <v>0.60970379669854136</v>
      </c>
      <c r="L36" s="283">
        <f>'Initial unit rates'!L164</f>
        <v>0.52814591956311241</v>
      </c>
      <c r="M36" s="283">
        <f>'Initial unit rates'!M164</f>
        <v>0.52814591956311241</v>
      </c>
      <c r="N36" s="283">
        <f>'Initial unit rates'!N164</f>
        <v>0.44897345285973522</v>
      </c>
      <c r="O36" s="283">
        <f>'Initial unit rates'!O164</f>
        <v>0.40117620607580301</v>
      </c>
      <c r="P36" s="283">
        <f>'Initial unit rates'!P164</f>
        <v>0.36161229965430791</v>
      </c>
      <c r="Q36" s="283">
        <f>'Initial unit rates'!Q164</f>
        <v>1.2003690914284559</v>
      </c>
      <c r="R36" s="283">
        <f>'Initial unit rates'!R164</f>
        <v>-0.36819584526276083</v>
      </c>
      <c r="S36" s="283">
        <f>'Initial unit rates'!S164</f>
        <v>-0.35760765305205056</v>
      </c>
      <c r="T36" s="283">
        <f>'Initial unit rates'!T164</f>
        <v>-0.36819584526276083</v>
      </c>
      <c r="U36" s="283">
        <f>'Initial unit rates'!U164</f>
        <v>-0.36819584526276083</v>
      </c>
      <c r="V36" s="283">
        <f>'Initial unit rates'!V164</f>
        <v>-0.35760765305205056</v>
      </c>
      <c r="W36" s="283">
        <f>'Initial unit rates'!W164</f>
        <v>-0.35760765305205056</v>
      </c>
      <c r="X36" s="283">
        <f>'Initial unit rates'!X164</f>
        <v>-0.35385055259018572</v>
      </c>
      <c r="Y36" s="283">
        <f>'Initial unit rates'!Y164</f>
        <v>-0.35385055259018572</v>
      </c>
      <c r="Z36" s="269"/>
      <c r="AA36" s="269"/>
    </row>
    <row r="37" spans="4:27" x14ac:dyDescent="0.25">
      <c r="D37"/>
      <c r="F37" t="s">
        <v>191</v>
      </c>
      <c r="G37" t="s">
        <v>269</v>
      </c>
      <c r="H37" s="269"/>
      <c r="I37" s="269"/>
      <c r="J37" s="284">
        <f>'Initial unit rates'!J165</f>
        <v>0</v>
      </c>
      <c r="K37" s="284">
        <f>'Initial unit rates'!K165</f>
        <v>0</v>
      </c>
      <c r="L37" s="284">
        <f>'Initial unit rates'!L165</f>
        <v>0</v>
      </c>
      <c r="M37" s="284">
        <f>'Initial unit rates'!M165</f>
        <v>0</v>
      </c>
      <c r="N37" s="284">
        <f>'Initial unit rates'!N165</f>
        <v>0</v>
      </c>
      <c r="O37" s="284">
        <f>'Initial unit rates'!O165</f>
        <v>0</v>
      </c>
      <c r="P37" s="284">
        <f>'Initial unit rates'!P165</f>
        <v>0</v>
      </c>
      <c r="Q37" s="284">
        <f>'Initial unit rates'!Q165</f>
        <v>0</v>
      </c>
      <c r="R37" s="284">
        <f>'Initial unit rates'!R165</f>
        <v>0</v>
      </c>
      <c r="S37" s="284">
        <f>'Initial unit rates'!S165</f>
        <v>0</v>
      </c>
      <c r="T37" s="284">
        <f>'Initial unit rates'!T165</f>
        <v>0</v>
      </c>
      <c r="U37" s="284">
        <f>'Initial unit rates'!U165</f>
        <v>0</v>
      </c>
      <c r="V37" s="284">
        <f>'Initial unit rates'!V165</f>
        <v>0</v>
      </c>
      <c r="W37" s="284">
        <f>'Initial unit rates'!W165</f>
        <v>0</v>
      </c>
      <c r="X37" s="284">
        <f>'Initial unit rates'!X165</f>
        <v>0</v>
      </c>
      <c r="Y37" s="284">
        <f>'Initial unit rates'!Y165</f>
        <v>0</v>
      </c>
      <c r="Z37" s="269"/>
      <c r="AA37" s="269"/>
    </row>
    <row r="38" spans="4:27" x14ac:dyDescent="0.25">
      <c r="D38"/>
      <c r="F38" t="s">
        <v>192</v>
      </c>
      <c r="G38" t="s">
        <v>269</v>
      </c>
      <c r="H38" s="269"/>
      <c r="I38" s="269"/>
      <c r="J38" s="284">
        <f>'Initial unit rates'!J166</f>
        <v>0.56758931202458818</v>
      </c>
      <c r="K38" s="284">
        <f>'Initial unit rates'!K166</f>
        <v>0.56758931202458818</v>
      </c>
      <c r="L38" s="284">
        <f>'Initial unit rates'!L166</f>
        <v>0.49166493755924101</v>
      </c>
      <c r="M38" s="284">
        <f>'Initial unit rates'!M166</f>
        <v>0.49166493755924101</v>
      </c>
      <c r="N38" s="284">
        <f>'Initial unit rates'!N166</f>
        <v>0.41796120445016527</v>
      </c>
      <c r="O38" s="284">
        <f>'Initial unit rates'!O166</f>
        <v>0.37346548937398838</v>
      </c>
      <c r="P38" s="284">
        <f>'Initial unit rates'!P166</f>
        <v>0.33663440754642249</v>
      </c>
      <c r="Q38" s="284">
        <f>'Initial unit rates'!Q166</f>
        <v>1.2696670506003354</v>
      </c>
      <c r="R38" s="284">
        <f>'Initial unit rates'!R166</f>
        <v>-0.34276320343521022</v>
      </c>
      <c r="S38" s="284">
        <f>'Initial unit rates'!S166</f>
        <v>-0.332906376620283</v>
      </c>
      <c r="T38" s="284">
        <f>'Initial unit rates'!T166</f>
        <v>-0.34276320343521022</v>
      </c>
      <c r="U38" s="284">
        <f>'Initial unit rates'!U166</f>
        <v>-0.34276320343521022</v>
      </c>
      <c r="V38" s="284">
        <f>'Initial unit rates'!V166</f>
        <v>-0.332906376620283</v>
      </c>
      <c r="W38" s="284">
        <f>'Initial unit rates'!W166</f>
        <v>-0.332906376620283</v>
      </c>
      <c r="X38" s="284">
        <f>'Initial unit rates'!X166</f>
        <v>-0.3294087929117604</v>
      </c>
      <c r="Y38" s="284">
        <f>'Initial unit rates'!Y166</f>
        <v>-0.3294087929117604</v>
      </c>
      <c r="Z38" s="269"/>
      <c r="AA38" s="269"/>
    </row>
    <row r="39" spans="4:27" x14ac:dyDescent="0.25">
      <c r="D39"/>
      <c r="F39" t="s">
        <v>193</v>
      </c>
      <c r="G39" t="s">
        <v>269</v>
      </c>
      <c r="H39" s="269"/>
      <c r="I39" s="269"/>
      <c r="J39" s="284">
        <f>'Initial unit rates'!J167</f>
        <v>0.29656011937478538</v>
      </c>
      <c r="K39" s="284">
        <f>'Initial unit rates'!K167</f>
        <v>0.29656011937478538</v>
      </c>
      <c r="L39" s="284">
        <f>'Initial unit rates'!L167</f>
        <v>0.25689034216459739</v>
      </c>
      <c r="M39" s="284">
        <f>'Initial unit rates'!M167</f>
        <v>0.25689034216459739</v>
      </c>
      <c r="N39" s="284">
        <f>'Initial unit rates'!N167</f>
        <v>0.21838082934232642</v>
      </c>
      <c r="O39" s="284">
        <f>'Initial unit rates'!O167</f>
        <v>0.19513223340314534</v>
      </c>
      <c r="P39" s="284">
        <f>'Initial unit rates'!P167</f>
        <v>0.17588833681791108</v>
      </c>
      <c r="Q39" s="284">
        <f>'Initial unit rates'!Q167</f>
        <v>0.66338918671526259</v>
      </c>
      <c r="R39" s="284">
        <f>'Initial unit rates'!R167</f>
        <v>-0.1790905754822005</v>
      </c>
      <c r="S39" s="284">
        <f>'Initial unit rates'!S167</f>
        <v>-0.17394047544514279</v>
      </c>
      <c r="T39" s="284">
        <f>'Initial unit rates'!T167</f>
        <v>-0.1790905754822005</v>
      </c>
      <c r="U39" s="284">
        <f>'Initial unit rates'!U167</f>
        <v>-0.1790905754822005</v>
      </c>
      <c r="V39" s="284">
        <f>'Initial unit rates'!V167</f>
        <v>-0.17394047544514279</v>
      </c>
      <c r="W39" s="284">
        <f>'Initial unit rates'!W167</f>
        <v>-0.17394047544514279</v>
      </c>
      <c r="X39" s="284">
        <f>'Initial unit rates'!X167</f>
        <v>-0.17211302059328359</v>
      </c>
      <c r="Y39" s="284">
        <f>'Initial unit rates'!Y167</f>
        <v>-0.17211302059328359</v>
      </c>
      <c r="Z39" s="269"/>
      <c r="AA39" s="269"/>
    </row>
    <row r="40" spans="4:27" x14ac:dyDescent="0.25">
      <c r="D40"/>
      <c r="F40" t="s">
        <v>194</v>
      </c>
      <c r="G40" t="s">
        <v>269</v>
      </c>
      <c r="H40" s="269"/>
      <c r="I40" s="269"/>
      <c r="J40" s="284">
        <f>'Initial unit rates'!J168</f>
        <v>0.30783288177162677</v>
      </c>
      <c r="K40" s="284">
        <f>'Initial unit rates'!K168</f>
        <v>0.30783288177162677</v>
      </c>
      <c r="L40" s="284">
        <f>'Initial unit rates'!L168</f>
        <v>0.26665518780658692</v>
      </c>
      <c r="M40" s="284">
        <f>'Initial unit rates'!M168</f>
        <v>0.26665518780658692</v>
      </c>
      <c r="N40" s="284">
        <f>'Initial unit rates'!N168</f>
        <v>0.22668186188301709</v>
      </c>
      <c r="O40" s="284">
        <f>'Initial unit rates'!O168</f>
        <v>0.20254954665401689</v>
      </c>
      <c r="P40" s="284">
        <f>'Initial unit rates'!P168</f>
        <v>0.18257415631887425</v>
      </c>
      <c r="Q40" s="284">
        <f>'Initial unit rates'!Q168</f>
        <v>0.69397107379782452</v>
      </c>
      <c r="R40" s="284">
        <f>'Initial unit rates'!R168</f>
        <v>-0.18589811760614017</v>
      </c>
      <c r="S40" s="284">
        <f>'Initial unit rates'!S168</f>
        <v>-0.18055225337071315</v>
      </c>
      <c r="T40" s="284">
        <f>'Initial unit rates'!T168</f>
        <v>-0.18589811760614017</v>
      </c>
      <c r="U40" s="284">
        <f>'Initial unit rates'!U168</f>
        <v>-0.18589811760614017</v>
      </c>
      <c r="V40" s="284">
        <f>'Initial unit rates'!V168</f>
        <v>-0.18055225337071315</v>
      </c>
      <c r="W40" s="284">
        <f>'Initial unit rates'!W168</f>
        <v>-0.18055225337071315</v>
      </c>
      <c r="X40" s="284">
        <f>'Initial unit rates'!X168</f>
        <v>-0.17865533380330353</v>
      </c>
      <c r="Y40" s="284">
        <f>'Initial unit rates'!Y168</f>
        <v>-0.17865533380330353</v>
      </c>
      <c r="Z40" s="269"/>
      <c r="AA40" s="269"/>
    </row>
    <row r="41" spans="4:27" x14ac:dyDescent="0.25">
      <c r="D41"/>
      <c r="F41" t="s">
        <v>195</v>
      </c>
      <c r="G41" t="s">
        <v>269</v>
      </c>
      <c r="H41" s="269"/>
      <c r="I41" s="269"/>
      <c r="J41" s="284">
        <f>'Initial unit rates'!J169</f>
        <v>0.49521518467467296</v>
      </c>
      <c r="K41" s="284">
        <f>'Initial unit rates'!K169</f>
        <v>0.49521518467467296</v>
      </c>
      <c r="L41" s="284">
        <f>'Initial unit rates'!L169</f>
        <v>0.42897203610647516</v>
      </c>
      <c r="M41" s="284">
        <f>'Initial unit rates'!M169</f>
        <v>0.42897203610647516</v>
      </c>
      <c r="N41" s="284">
        <f>'Initial unit rates'!N169</f>
        <v>0.36466637172983057</v>
      </c>
      <c r="O41" s="284">
        <f>'Initial unit rates'!O169</f>
        <v>0.32584436910951697</v>
      </c>
      <c r="P41" s="284">
        <f>'Initial unit rates'!P169</f>
        <v>0.29370967135781595</v>
      </c>
      <c r="Q41" s="284">
        <f>'Initial unit rates'!Q169</f>
        <v>1.116401248274143</v>
      </c>
      <c r="R41" s="284">
        <f>'Initial unit rates'!R169</f>
        <v>-0.29905697569142531</v>
      </c>
      <c r="S41" s="284">
        <f>'Initial unit rates'!S169</f>
        <v>-0.29045700700271077</v>
      </c>
      <c r="T41" s="284">
        <f>'Initial unit rates'!T169</f>
        <v>-0.29905697569142531</v>
      </c>
      <c r="U41" s="284">
        <f>'Initial unit rates'!U169</f>
        <v>-0.29905697569142531</v>
      </c>
      <c r="V41" s="284">
        <f>'Initial unit rates'!V169</f>
        <v>-0.29045700700271077</v>
      </c>
      <c r="W41" s="284">
        <f>'Initial unit rates'!W169</f>
        <v>-0.29045700700271077</v>
      </c>
      <c r="X41" s="284">
        <f>'Initial unit rates'!X169</f>
        <v>-0.28740540520994118</v>
      </c>
      <c r="Y41" s="284">
        <f>'Initial unit rates'!Y169</f>
        <v>-0.28740540520994118</v>
      </c>
      <c r="Z41" s="269"/>
      <c r="AA41" s="269"/>
    </row>
    <row r="42" spans="4:27" x14ac:dyDescent="0.25">
      <c r="D42"/>
      <c r="F42" t="s">
        <v>196</v>
      </c>
      <c r="G42" t="s">
        <v>269</v>
      </c>
      <c r="H42" s="269"/>
      <c r="I42" s="269"/>
      <c r="J42" s="284">
        <f>'Initial unit rates'!J170</f>
        <v>4.962895009671154E-2</v>
      </c>
      <c r="K42" s="284">
        <f>'Initial unit rates'!K170</f>
        <v>4.962895009671154E-2</v>
      </c>
      <c r="L42" s="284">
        <f>'Initial unit rates'!L170</f>
        <v>4.2990264498450101E-2</v>
      </c>
      <c r="M42" s="284">
        <f>'Initial unit rates'!M170</f>
        <v>4.2990264498450101E-2</v>
      </c>
      <c r="N42" s="284">
        <f>'Initial unit rates'!N170</f>
        <v>3.6545747635783714E-2</v>
      </c>
      <c r="O42" s="284">
        <f>'Initial unit rates'!O170</f>
        <v>3.2655125356170718E-2</v>
      </c>
      <c r="P42" s="284">
        <f>'Initial unit rates'!P170</f>
        <v>2.9434684302571415E-2</v>
      </c>
      <c r="Q42" s="284">
        <f>'Initial unit rates'!Q170</f>
        <v>0.1110173172023247</v>
      </c>
      <c r="R42" s="284">
        <f>'Initial unit rates'!R170</f>
        <v>-2.9970574776323679E-2</v>
      </c>
      <c r="S42" s="284">
        <f>'Initial unit rates'!S170</f>
        <v>-2.9108712236373731E-2</v>
      </c>
      <c r="T42" s="284">
        <f>'Initial unit rates'!T170</f>
        <v>-2.9970574776323679E-2</v>
      </c>
      <c r="U42" s="284">
        <f>'Initial unit rates'!U170</f>
        <v>-2.9970574776323679E-2</v>
      </c>
      <c r="V42" s="284">
        <f>'Initial unit rates'!V170</f>
        <v>-2.9108712236373731E-2</v>
      </c>
      <c r="W42" s="284">
        <f>'Initial unit rates'!W170</f>
        <v>-2.9108712236373731E-2</v>
      </c>
      <c r="X42" s="284">
        <f>'Initial unit rates'!X170</f>
        <v>-2.8802890044778595E-2</v>
      </c>
      <c r="Y42" s="284">
        <f>'Initial unit rates'!Y170</f>
        <v>-2.8802890044778595E-2</v>
      </c>
      <c r="Z42" s="269"/>
      <c r="AA42" s="269"/>
    </row>
    <row r="43" spans="4:27" x14ac:dyDescent="0.25">
      <c r="D43"/>
      <c r="F43" t="s">
        <v>197</v>
      </c>
      <c r="G43" t="s">
        <v>269</v>
      </c>
      <c r="H43" s="269"/>
      <c r="I43" s="269"/>
      <c r="J43" s="284">
        <f>'Initial unit rates'!J171</f>
        <v>1.1408909997469208</v>
      </c>
      <c r="K43" s="284">
        <f>'Initial unit rates'!K171</f>
        <v>1.1408909997469208</v>
      </c>
      <c r="L43" s="284">
        <f>'Initial unit rates'!L171</f>
        <v>0.98827812692880612</v>
      </c>
      <c r="M43" s="284">
        <f>'Initial unit rates'!M171</f>
        <v>0.98827812692880612</v>
      </c>
      <c r="N43" s="284">
        <f>'Initial unit rates'!N171</f>
        <v>0.84012888597155055</v>
      </c>
      <c r="O43" s="284">
        <f>'Initial unit rates'!O171</f>
        <v>0.75068963864563476</v>
      </c>
      <c r="P43" s="284">
        <f>'Initial unit rates'!P171</f>
        <v>0.67665679680418722</v>
      </c>
      <c r="Q43" s="284">
        <f>'Initial unit rates'!Q171</f>
        <v>2.5719973370746652</v>
      </c>
      <c r="R43" s="284">
        <f>'Initial unit rates'!R171</f>
        <v>-0.6889760704773692</v>
      </c>
      <c r="S43" s="284">
        <f>'Initial unit rates'!S171</f>
        <v>-0.66916321501837217</v>
      </c>
      <c r="T43" s="284">
        <f>'Initial unit rates'!T171</f>
        <v>-0.6889760704773692</v>
      </c>
      <c r="U43" s="284">
        <f>'Initial unit rates'!U171</f>
        <v>-0.6889760704773692</v>
      </c>
      <c r="V43" s="284">
        <f>'Initial unit rates'!V171</f>
        <v>-0.66916321501837217</v>
      </c>
      <c r="W43" s="284">
        <f>'Initial unit rates'!W171</f>
        <v>-0.66916321501837217</v>
      </c>
      <c r="X43" s="284">
        <f>'Initial unit rates'!X171</f>
        <v>0</v>
      </c>
      <c r="Y43" s="284">
        <f>'Initial unit rates'!Y171</f>
        <v>0</v>
      </c>
      <c r="Z43" s="269"/>
      <c r="AA43" s="269"/>
    </row>
    <row r="44" spans="4:27" x14ac:dyDescent="0.25">
      <c r="D44"/>
      <c r="F44" t="s">
        <v>198</v>
      </c>
      <c r="G44" t="s">
        <v>269</v>
      </c>
      <c r="H44" s="269"/>
      <c r="I44" s="269"/>
      <c r="J44" s="284">
        <f>'Initial unit rates'!J172</f>
        <v>0.52224529842137724</v>
      </c>
      <c r="K44" s="284">
        <f>'Initial unit rates'!K172</f>
        <v>0.52224529842137724</v>
      </c>
      <c r="L44" s="284">
        <f>'Initial unit rates'!L172</f>
        <v>0.45238642905916848</v>
      </c>
      <c r="M44" s="284">
        <f>'Initial unit rates'!M172</f>
        <v>0.45238642905916848</v>
      </c>
      <c r="N44" s="284">
        <f>'Initial unit rates'!N172</f>
        <v>0.38457079674040601</v>
      </c>
      <c r="O44" s="284">
        <f>'Initial unit rates'!O172</f>
        <v>0.34362978973739911</v>
      </c>
      <c r="P44" s="284">
        <f>'Initial unit rates'!P172</f>
        <v>0</v>
      </c>
      <c r="Q44" s="284">
        <f>'Initial unit rates'!Q172</f>
        <v>1.1773372891341116</v>
      </c>
      <c r="R44" s="284">
        <f>'Initial unit rates'!R172</f>
        <v>-0.31538027174502881</v>
      </c>
      <c r="S44" s="284">
        <f>'Initial unit rates'!S172</f>
        <v>0</v>
      </c>
      <c r="T44" s="284">
        <f>'Initial unit rates'!T172</f>
        <v>-0.31538027174502881</v>
      </c>
      <c r="U44" s="284">
        <f>'Initial unit rates'!U172</f>
        <v>-0.31538027174502881</v>
      </c>
      <c r="V44" s="284">
        <f>'Initial unit rates'!V172</f>
        <v>0</v>
      </c>
      <c r="W44" s="284">
        <f>'Initial unit rates'!W172</f>
        <v>0</v>
      </c>
      <c r="X44" s="284">
        <f>'Initial unit rates'!X172</f>
        <v>0</v>
      </c>
      <c r="Y44" s="284">
        <f>'Initial unit rates'!Y172</f>
        <v>0</v>
      </c>
      <c r="Z44" s="269"/>
      <c r="AA44" s="269"/>
    </row>
    <row r="45" spans="4:27" x14ac:dyDescent="0.25">
      <c r="D45"/>
      <c r="F45" t="s">
        <v>199</v>
      </c>
      <c r="G45" t="s">
        <v>269</v>
      </c>
      <c r="H45" s="269"/>
      <c r="I45" s="269"/>
      <c r="J45" s="284">
        <f>'Initial unit rates'!J173</f>
        <v>1.040942771138561</v>
      </c>
      <c r="K45" s="284">
        <f>'Initial unit rates'!K173</f>
        <v>1.040942771138561</v>
      </c>
      <c r="L45" s="284">
        <f>'Initial unit rates'!L173</f>
        <v>0.90169961225840112</v>
      </c>
      <c r="M45" s="284">
        <f>'Initial unit rates'!M173</f>
        <v>0.90169961225840112</v>
      </c>
      <c r="N45" s="284">
        <f>'Initial unit rates'!N173</f>
        <v>0.76652904692102086</v>
      </c>
      <c r="O45" s="284">
        <f>'Initial unit rates'!O173</f>
        <v>0</v>
      </c>
      <c r="P45" s="284">
        <f>'Initial unit rates'!P173</f>
        <v>0</v>
      </c>
      <c r="Q45" s="284">
        <f>'Initial unit rates'!Q173</f>
        <v>2.3466764449972839</v>
      </c>
      <c r="R45" s="284">
        <f>'Initial unit rates'!R173</f>
        <v>0</v>
      </c>
      <c r="S45" s="284">
        <f>'Initial unit rates'!S173</f>
        <v>0</v>
      </c>
      <c r="T45" s="284">
        <f>'Initial unit rates'!T173</f>
        <v>0</v>
      </c>
      <c r="U45" s="284">
        <f>'Initial unit rates'!U173</f>
        <v>0</v>
      </c>
      <c r="V45" s="284">
        <f>'Initial unit rates'!V173</f>
        <v>0</v>
      </c>
      <c r="W45" s="284">
        <f>'Initial unit rates'!W173</f>
        <v>0</v>
      </c>
      <c r="X45" s="284">
        <f>'Initial unit rates'!X173</f>
        <v>0</v>
      </c>
      <c r="Y45" s="284">
        <f>'Initial unit rates'!Y173</f>
        <v>0</v>
      </c>
      <c r="Z45" s="269"/>
      <c r="AA45" s="269"/>
    </row>
    <row r="46" spans="4:27" x14ac:dyDescent="0.25">
      <c r="D46"/>
      <c r="F46" s="23" t="s">
        <v>376</v>
      </c>
      <c r="G46" s="23" t="s">
        <v>269</v>
      </c>
      <c r="H46" s="267"/>
      <c r="I46" s="267" t="s">
        <v>154</v>
      </c>
      <c r="J46" s="285"/>
      <c r="K46" s="285"/>
      <c r="L46" s="285"/>
      <c r="M46" s="285"/>
      <c r="N46" s="285"/>
      <c r="O46" s="285"/>
      <c r="P46" s="285"/>
      <c r="Q46" s="283">
        <f>'Service model charges'!$Q$44</f>
        <v>0.79060175753563178</v>
      </c>
      <c r="R46" s="285"/>
      <c r="S46" s="285"/>
      <c r="T46" s="285"/>
      <c r="U46" s="285"/>
      <c r="V46" s="285"/>
      <c r="W46" s="285"/>
      <c r="X46" s="285"/>
      <c r="Y46" s="285"/>
      <c r="Z46" s="269"/>
      <c r="AA46" s="269" t="s">
        <v>654</v>
      </c>
    </row>
    <row r="47" spans="4:27" x14ac:dyDescent="0.25">
      <c r="D47"/>
      <c r="F47" s="37" t="s">
        <v>377</v>
      </c>
      <c r="G47" s="37" t="s">
        <v>269</v>
      </c>
      <c r="H47" s="273"/>
      <c r="I47" s="273"/>
      <c r="J47" s="274"/>
      <c r="K47" s="274"/>
      <c r="L47" s="274"/>
      <c r="M47" s="274"/>
      <c r="N47" s="274"/>
      <c r="O47" s="274"/>
      <c r="P47" s="274"/>
      <c r="Q47" s="274"/>
      <c r="R47" s="274"/>
      <c r="S47" s="274"/>
      <c r="T47" s="274"/>
      <c r="U47" s="274"/>
      <c r="V47" s="274"/>
      <c r="W47" s="274"/>
      <c r="X47" s="274"/>
      <c r="Y47" s="274"/>
      <c r="Z47" s="269"/>
      <c r="AA47" s="269"/>
    </row>
    <row r="48" spans="4:27" x14ac:dyDescent="0.25">
      <c r="J48" s="89"/>
      <c r="K48" s="89"/>
      <c r="L48" s="89"/>
      <c r="M48" s="89"/>
      <c r="N48" s="89"/>
      <c r="O48" s="89"/>
      <c r="P48" s="89"/>
      <c r="Q48" s="89"/>
      <c r="R48" s="89"/>
      <c r="S48" s="89"/>
      <c r="T48" s="89"/>
      <c r="U48" s="89"/>
      <c r="V48" s="89"/>
      <c r="W48" s="89"/>
      <c r="X48" s="89"/>
      <c r="Y48" s="89"/>
    </row>
    <row r="49" spans="3:27" x14ac:dyDescent="0.25">
      <c r="C49" s="31" t="str">
        <f ca="1">INDEX('Version control'!$H$34:$H$57,MATCH($A$1,'Version control'!$F$34:$F$57,0),1)&amp;"-B: Initial unit rate 2"</f>
        <v>Section 111-B: Initial unit rate 2</v>
      </c>
      <c r="D49" s="31"/>
      <c r="E49" s="31"/>
      <c r="F49" s="31"/>
      <c r="G49" s="31"/>
      <c r="H49" s="31"/>
      <c r="I49" s="31"/>
      <c r="J49" s="90"/>
      <c r="K49" s="90"/>
      <c r="L49" s="90"/>
      <c r="M49" s="90"/>
      <c r="N49" s="90"/>
      <c r="O49" s="90"/>
      <c r="P49" s="90"/>
      <c r="Q49" s="90"/>
      <c r="R49" s="90"/>
      <c r="S49" s="90"/>
      <c r="T49" s="90"/>
      <c r="U49" s="90"/>
      <c r="V49" s="90"/>
      <c r="W49" s="90"/>
      <c r="X49" s="90"/>
      <c r="Y49" s="90"/>
      <c r="Z49" s="31"/>
      <c r="AA49" s="31"/>
    </row>
    <row r="50" spans="3:27" x14ac:dyDescent="0.25">
      <c r="C50" s="32"/>
      <c r="D50"/>
      <c r="E50" s="32"/>
      <c r="J50" s="89"/>
      <c r="K50" s="89"/>
      <c r="L50" s="89"/>
      <c r="M50" s="89"/>
      <c r="N50" s="89"/>
      <c r="O50" s="89"/>
      <c r="P50" s="89"/>
      <c r="Q50" s="89"/>
      <c r="R50" s="89"/>
      <c r="S50" s="89"/>
      <c r="T50" s="89"/>
      <c r="U50" s="89"/>
      <c r="V50" s="89"/>
      <c r="W50" s="89"/>
      <c r="X50" s="89"/>
      <c r="Y50" s="89"/>
    </row>
    <row r="51" spans="3:27" x14ac:dyDescent="0.25">
      <c r="D51"/>
      <c r="E51" s="32" t="s">
        <v>621</v>
      </c>
      <c r="J51" s="89"/>
      <c r="K51" s="89"/>
      <c r="L51" s="89"/>
      <c r="M51" s="89"/>
      <c r="N51" s="89"/>
      <c r="O51" s="89"/>
      <c r="P51" s="89"/>
      <c r="Q51" s="89"/>
      <c r="R51" s="89"/>
      <c r="S51" s="89"/>
      <c r="T51" s="89"/>
      <c r="U51" s="89"/>
      <c r="V51" s="89"/>
      <c r="W51" s="89"/>
      <c r="X51" s="89"/>
      <c r="Y51" s="89"/>
    </row>
    <row r="52" spans="3:27" x14ac:dyDescent="0.25">
      <c r="D52"/>
      <c r="F52" s="23" t="s">
        <v>189</v>
      </c>
      <c r="G52" s="23" t="s">
        <v>269</v>
      </c>
      <c r="H52" s="267"/>
      <c r="I52" s="267"/>
      <c r="J52" s="283">
        <f>'Initial unit rates'!J181</f>
        <v>0</v>
      </c>
      <c r="K52" s="283">
        <f>'Initial unit rates'!K181</f>
        <v>0</v>
      </c>
      <c r="L52" s="283">
        <f>'Initial unit rates'!L181</f>
        <v>0</v>
      </c>
      <c r="M52" s="283">
        <f>'Initial unit rates'!M181</f>
        <v>0</v>
      </c>
      <c r="N52" s="283">
        <f>'Initial unit rates'!N181</f>
        <v>0</v>
      </c>
      <c r="O52" s="283">
        <f>'Initial unit rates'!O181</f>
        <v>0</v>
      </c>
      <c r="P52" s="283">
        <f>'Initial unit rates'!P181</f>
        <v>0</v>
      </c>
      <c r="Q52" s="283">
        <f>'Initial unit rates'!Q181</f>
        <v>0</v>
      </c>
      <c r="R52" s="283">
        <f>'Initial unit rates'!R181</f>
        <v>0</v>
      </c>
      <c r="S52" s="283">
        <f>'Initial unit rates'!S181</f>
        <v>0</v>
      </c>
      <c r="T52" s="283">
        <f>'Initial unit rates'!T181</f>
        <v>0</v>
      </c>
      <c r="U52" s="283">
        <f>'Initial unit rates'!U181</f>
        <v>0</v>
      </c>
      <c r="V52" s="283">
        <f>'Initial unit rates'!V181</f>
        <v>0</v>
      </c>
      <c r="W52" s="283">
        <f>'Initial unit rates'!W181</f>
        <v>0</v>
      </c>
      <c r="X52" s="283">
        <f>'Initial unit rates'!X181</f>
        <v>0</v>
      </c>
      <c r="Y52" s="283">
        <f>'Initial unit rates'!Y181</f>
        <v>0</v>
      </c>
      <c r="Z52" s="269"/>
      <c r="AA52" s="269"/>
    </row>
    <row r="53" spans="3:27" x14ac:dyDescent="0.25">
      <c r="D53"/>
      <c r="F53" t="s">
        <v>191</v>
      </c>
      <c r="G53" t="s">
        <v>269</v>
      </c>
      <c r="H53" s="269"/>
      <c r="I53" s="269"/>
      <c r="J53" s="284">
        <f>'Initial unit rates'!J182</f>
        <v>0</v>
      </c>
      <c r="K53" s="284">
        <f>'Initial unit rates'!K182</f>
        <v>0</v>
      </c>
      <c r="L53" s="284">
        <f>'Initial unit rates'!L182</f>
        <v>0</v>
      </c>
      <c r="M53" s="284">
        <f>'Initial unit rates'!M182</f>
        <v>0</v>
      </c>
      <c r="N53" s="284">
        <f>'Initial unit rates'!N182</f>
        <v>0</v>
      </c>
      <c r="O53" s="284">
        <f>'Initial unit rates'!O182</f>
        <v>0</v>
      </c>
      <c r="P53" s="284">
        <f>'Initial unit rates'!P182</f>
        <v>0</v>
      </c>
      <c r="Q53" s="284">
        <f>'Initial unit rates'!Q182</f>
        <v>0</v>
      </c>
      <c r="R53" s="284">
        <f>'Initial unit rates'!R182</f>
        <v>0</v>
      </c>
      <c r="S53" s="284">
        <f>'Initial unit rates'!S182</f>
        <v>0</v>
      </c>
      <c r="T53" s="284">
        <f>'Initial unit rates'!T182</f>
        <v>0</v>
      </c>
      <c r="U53" s="284">
        <f>'Initial unit rates'!U182</f>
        <v>0</v>
      </c>
      <c r="V53" s="284">
        <f>'Initial unit rates'!V182</f>
        <v>0</v>
      </c>
      <c r="W53" s="284">
        <f>'Initial unit rates'!W182</f>
        <v>0</v>
      </c>
      <c r="X53" s="284">
        <f>'Initial unit rates'!X182</f>
        <v>0</v>
      </c>
      <c r="Y53" s="284">
        <f>'Initial unit rates'!Y182</f>
        <v>0</v>
      </c>
      <c r="Z53" s="269"/>
      <c r="AA53" s="269"/>
    </row>
    <row r="54" spans="3:27" x14ac:dyDescent="0.25">
      <c r="D54"/>
      <c r="F54" t="s">
        <v>192</v>
      </c>
      <c r="G54" t="s">
        <v>269</v>
      </c>
      <c r="H54" s="269"/>
      <c r="I54" s="269"/>
      <c r="J54" s="284">
        <f>'Initial unit rates'!J183</f>
        <v>8.20832196261818E-2</v>
      </c>
      <c r="K54" s="284">
        <f>'Initial unit rates'!K183</f>
        <v>8.20832196261818E-2</v>
      </c>
      <c r="L54" s="284">
        <f>'Initial unit rates'!L183</f>
        <v>7.1103243484647985E-2</v>
      </c>
      <c r="M54" s="284">
        <f>'Initial unit rates'!M183</f>
        <v>7.1103243484647985E-2</v>
      </c>
      <c r="N54" s="284">
        <f>'Initial unit rates'!N183</f>
        <v>6.0444410444818519E-2</v>
      </c>
      <c r="O54" s="284">
        <f>'Initial unit rates'!O183</f>
        <v>5.4009561381163848E-2</v>
      </c>
      <c r="P54" s="284">
        <f>'Initial unit rates'!P183</f>
        <v>4.8683150691825494E-2</v>
      </c>
      <c r="Q54" s="284">
        <f>'Initial unit rates'!Q183</f>
        <v>5.937154460428945E-2</v>
      </c>
      <c r="R54" s="284">
        <f>'Initial unit rates'!R183</f>
        <v>-4.9569480452315427E-2</v>
      </c>
      <c r="S54" s="284">
        <f>'Initial unit rates'!S183</f>
        <v>-4.8144013018157933E-2</v>
      </c>
      <c r="T54" s="284">
        <f>'Initial unit rates'!T183</f>
        <v>-4.9569480452315427E-2</v>
      </c>
      <c r="U54" s="284">
        <f>'Initial unit rates'!U183</f>
        <v>-4.9569480452315427E-2</v>
      </c>
      <c r="V54" s="284">
        <f>'Initial unit rates'!V183</f>
        <v>-4.8144013018157933E-2</v>
      </c>
      <c r="W54" s="284">
        <f>'Initial unit rates'!W183</f>
        <v>-4.8144013018157933E-2</v>
      </c>
      <c r="X54" s="284">
        <f>'Initial unit rates'!X183</f>
        <v>-4.7638201993134309E-2</v>
      </c>
      <c r="Y54" s="284">
        <f>'Initial unit rates'!Y183</f>
        <v>-4.7638201993134309E-2</v>
      </c>
      <c r="Z54" s="269"/>
      <c r="AA54" s="269"/>
    </row>
    <row r="55" spans="3:27" x14ac:dyDescent="0.25">
      <c r="D55"/>
      <c r="F55" t="s">
        <v>193</v>
      </c>
      <c r="G55" t="s">
        <v>269</v>
      </c>
      <c r="H55" s="269"/>
      <c r="I55" s="269"/>
      <c r="J55" s="284">
        <f>'Initial unit rates'!J184</f>
        <v>4.288771633873309E-2</v>
      </c>
      <c r="K55" s="284">
        <f>'Initial unit rates'!K184</f>
        <v>4.288771633873309E-2</v>
      </c>
      <c r="L55" s="284">
        <f>'Initial unit rates'!L184</f>
        <v>3.7150781258594549E-2</v>
      </c>
      <c r="M55" s="284">
        <f>'Initial unit rates'!M184</f>
        <v>3.7150781258594549E-2</v>
      </c>
      <c r="N55" s="284">
        <f>'Initial unit rates'!N184</f>
        <v>3.1581640452520321E-2</v>
      </c>
      <c r="O55" s="284">
        <f>'Initial unit rates'!O184</f>
        <v>2.8219491860135459E-2</v>
      </c>
      <c r="P55" s="284">
        <f>'Initial unit rates'!P184</f>
        <v>2.5436491975527189E-2</v>
      </c>
      <c r="Q55" s="284">
        <f>'Initial unit rates'!Q184</f>
        <v>3.1021078061721375E-2</v>
      </c>
      <c r="R55" s="284">
        <f>'Initial unit rates'!R184</f>
        <v>-2.5899591005067998E-2</v>
      </c>
      <c r="S55" s="284">
        <f>'Initial unit rates'!S184</f>
        <v>-2.5154797571712607E-2</v>
      </c>
      <c r="T55" s="284">
        <f>'Initial unit rates'!T184</f>
        <v>-2.5899591005067998E-2</v>
      </c>
      <c r="U55" s="284">
        <f>'Initial unit rates'!U184</f>
        <v>-2.5899591005067998E-2</v>
      </c>
      <c r="V55" s="284">
        <f>'Initial unit rates'!V184</f>
        <v>-2.5154797571712607E-2</v>
      </c>
      <c r="W55" s="284">
        <f>'Initial unit rates'!W184</f>
        <v>-2.5154797571712607E-2</v>
      </c>
      <c r="X55" s="284">
        <f>'Initial unit rates'!X184</f>
        <v>-2.4890516030844568E-2</v>
      </c>
      <c r="Y55" s="284">
        <f>'Initial unit rates'!Y184</f>
        <v>-2.4890516030844568E-2</v>
      </c>
      <c r="Z55" s="269"/>
      <c r="AA55" s="269"/>
    </row>
    <row r="56" spans="3:27" x14ac:dyDescent="0.25">
      <c r="D56"/>
      <c r="F56" t="s">
        <v>194</v>
      </c>
      <c r="G56" t="s">
        <v>269</v>
      </c>
      <c r="H56" s="269"/>
      <c r="I56" s="269"/>
      <c r="J56" s="284">
        <f>'Initial unit rates'!J185</f>
        <v>7.4218250121980842E-2</v>
      </c>
      <c r="K56" s="284">
        <f>'Initial unit rates'!K185</f>
        <v>7.4218250121980842E-2</v>
      </c>
      <c r="L56" s="284">
        <f>'Initial unit rates'!L185</f>
        <v>6.4290342575018505E-2</v>
      </c>
      <c r="M56" s="284">
        <f>'Initial unit rates'!M185</f>
        <v>6.4290342575018505E-2</v>
      </c>
      <c r="N56" s="284">
        <f>'Initial unit rates'!N185</f>
        <v>5.4652807154731836E-2</v>
      </c>
      <c r="O56" s="284">
        <f>'Initial unit rates'!O185</f>
        <v>4.8834526153103269E-2</v>
      </c>
      <c r="P56" s="284">
        <f>'Initial unit rates'!P185</f>
        <v>4.1138785364950289E-2</v>
      </c>
      <c r="Q56" s="284">
        <f>'Initial unit rates'!Q185</f>
        <v>5.066100352944742E-2</v>
      </c>
      <c r="R56" s="284">
        <f>'Initial unit rates'!R185</f>
        <v>-4.4819880547827852E-2</v>
      </c>
      <c r="S56" s="284">
        <f>'Initial unit rates'!S185</f>
        <v>-4.3530997155450613E-2</v>
      </c>
      <c r="T56" s="284">
        <f>'Initial unit rates'!T185</f>
        <v>-4.4819880547827852E-2</v>
      </c>
      <c r="U56" s="284">
        <f>'Initial unit rates'!U185</f>
        <v>-4.4819880547827852E-2</v>
      </c>
      <c r="V56" s="284">
        <f>'Initial unit rates'!V185</f>
        <v>-4.3530997155450613E-2</v>
      </c>
      <c r="W56" s="284">
        <f>'Initial unit rates'!W185</f>
        <v>-4.3530997155450613E-2</v>
      </c>
      <c r="X56" s="284">
        <f>'Initial unit rates'!X185</f>
        <v>-4.0255771023808666E-2</v>
      </c>
      <c r="Y56" s="284">
        <f>'Initial unit rates'!Y185</f>
        <v>-4.0255771023808666E-2</v>
      </c>
      <c r="Z56" s="269"/>
      <c r="AA56" s="269"/>
    </row>
    <row r="57" spans="3:27" x14ac:dyDescent="0.25">
      <c r="D57"/>
      <c r="F57" t="s">
        <v>195</v>
      </c>
      <c r="G57" t="s">
        <v>269</v>
      </c>
      <c r="H57" s="269"/>
      <c r="I57" s="269"/>
      <c r="J57" s="284">
        <f>'Initial unit rates'!J186</f>
        <v>0.11939596650254747</v>
      </c>
      <c r="K57" s="284">
        <f>'Initial unit rates'!K186</f>
        <v>0.11939596650254747</v>
      </c>
      <c r="L57" s="284">
        <f>'Initial unit rates'!L186</f>
        <v>0.10342479883193643</v>
      </c>
      <c r="M57" s="284">
        <f>'Initial unit rates'!M186</f>
        <v>0.10342479883193643</v>
      </c>
      <c r="N57" s="284">
        <f>'Initial unit rates'!N186</f>
        <v>8.792075697812736E-2</v>
      </c>
      <c r="O57" s="284">
        <f>'Initial unit rates'!O186</f>
        <v>7.8560804642534482E-2</v>
      </c>
      <c r="P57" s="284">
        <f>'Initial unit rates'!P186</f>
        <v>4.5913152604659231E-2</v>
      </c>
      <c r="Q57" s="284">
        <f>'Initial unit rates'!Q186</f>
        <v>8.149908506931941E-2</v>
      </c>
      <c r="R57" s="284">
        <f>'Initial unit rates'!R186</f>
        <v>-7.2102386511963351E-2</v>
      </c>
      <c r="S57" s="284">
        <f>'Initial unit rates'!S186</f>
        <v>-7.0028941259764013E-2</v>
      </c>
      <c r="T57" s="284">
        <f>'Initial unit rates'!T186</f>
        <v>-7.2102386511963351E-2</v>
      </c>
      <c r="U57" s="284">
        <f>'Initial unit rates'!U186</f>
        <v>-7.2102386511963351E-2</v>
      </c>
      <c r="V57" s="284">
        <f>'Initial unit rates'!V186</f>
        <v>-7.0028941259764013E-2</v>
      </c>
      <c r="W57" s="284">
        <f>'Initial unit rates'!W186</f>
        <v>-7.0028941259764013E-2</v>
      </c>
      <c r="X57" s="284">
        <f>'Initial unit rates'!X186</f>
        <v>-4.4927659916013177E-2</v>
      </c>
      <c r="Y57" s="284">
        <f>'Initial unit rates'!Y186</f>
        <v>-4.4927659916013177E-2</v>
      </c>
      <c r="Z57" s="269"/>
      <c r="AA57" s="269"/>
    </row>
    <row r="58" spans="3:27" x14ac:dyDescent="0.25">
      <c r="D58"/>
      <c r="F58" t="s">
        <v>196</v>
      </c>
      <c r="G58" t="s">
        <v>269</v>
      </c>
      <c r="H58" s="269"/>
      <c r="I58" s="269"/>
      <c r="J58" s="284">
        <f>'Initial unit rates'!J187</f>
        <v>7.1772035242776326E-3</v>
      </c>
      <c r="K58" s="284">
        <f>'Initial unit rates'!K187</f>
        <v>7.1772035242776326E-3</v>
      </c>
      <c r="L58" s="284">
        <f>'Initial unit rates'!L187</f>
        <v>6.2171349034512097E-3</v>
      </c>
      <c r="M58" s="284">
        <f>'Initial unit rates'!M187</f>
        <v>6.2171349034512097E-3</v>
      </c>
      <c r="N58" s="284">
        <f>'Initial unit rates'!N187</f>
        <v>5.2851464360574455E-3</v>
      </c>
      <c r="O58" s="284">
        <f>'Initial unit rates'!O187</f>
        <v>4.7224952439113973E-3</v>
      </c>
      <c r="P58" s="284">
        <f>'Initial unit rates'!P187</f>
        <v>2.7599595726529504E-3</v>
      </c>
      <c r="Q58" s="284">
        <f>'Initial unit rates'!Q187</f>
        <v>5.1913370493546582E-3</v>
      </c>
      <c r="R58" s="284">
        <f>'Initial unit rates'!R187</f>
        <v>-4.3342628544445006E-3</v>
      </c>
      <c r="S58" s="284">
        <f>'Initial unit rates'!S187</f>
        <v>-4.2096226424892299E-3</v>
      </c>
      <c r="T58" s="284">
        <f>'Initial unit rates'!T187</f>
        <v>-4.3342628544445006E-3</v>
      </c>
      <c r="U58" s="284">
        <f>'Initial unit rates'!U187</f>
        <v>-4.3342628544445006E-3</v>
      </c>
      <c r="V58" s="284">
        <f>'Initial unit rates'!V187</f>
        <v>-4.2096226424892299E-3</v>
      </c>
      <c r="W58" s="284">
        <f>'Initial unit rates'!W187</f>
        <v>-4.2096226424892299E-3</v>
      </c>
      <c r="X58" s="284">
        <f>'Initial unit rates'!X187</f>
        <v>-2.7007190320778259E-3</v>
      </c>
      <c r="Y58" s="284">
        <f>'Initial unit rates'!Y187</f>
        <v>-2.7007190320778259E-3</v>
      </c>
      <c r="Z58" s="269"/>
      <c r="AA58" s="269"/>
    </row>
    <row r="59" spans="3:27" x14ac:dyDescent="0.25">
      <c r="D59"/>
      <c r="F59" t="s">
        <v>197</v>
      </c>
      <c r="G59" t="s">
        <v>269</v>
      </c>
      <c r="H59" s="269"/>
      <c r="I59" s="269"/>
      <c r="J59" s="284">
        <f>'Initial unit rates'!J188</f>
        <v>0.1432736309123161</v>
      </c>
      <c r="K59" s="284">
        <f>'Initial unit rates'!K188</f>
        <v>0.1432736309123161</v>
      </c>
      <c r="L59" s="284">
        <f>'Initial unit rates'!L188</f>
        <v>0.12410843422178119</v>
      </c>
      <c r="M59" s="284">
        <f>'Initial unit rates'!M188</f>
        <v>0.12410843422178119</v>
      </c>
      <c r="N59" s="284">
        <f>'Initial unit rates'!N188</f>
        <v>0.10550378252976318</v>
      </c>
      <c r="O59" s="284">
        <f>'Initial unit rates'!O188</f>
        <v>9.4271959583231799E-2</v>
      </c>
      <c r="P59" s="284">
        <f>'Initial unit rates'!P188</f>
        <v>5.9083415962781972E-2</v>
      </c>
      <c r="Q59" s="284">
        <f>'Initial unit rates'!Q188</f>
        <v>9.7797858470068028E-2</v>
      </c>
      <c r="R59" s="284">
        <f>'Initial unit rates'!R188</f>
        <v>-8.6521940527963997E-2</v>
      </c>
      <c r="S59" s="284">
        <f>'Initial unit rates'!S188</f>
        <v>-8.4033832776232179E-2</v>
      </c>
      <c r="T59" s="284">
        <f>'Initial unit rates'!T188</f>
        <v>-8.6521940527963997E-2</v>
      </c>
      <c r="U59" s="284">
        <f>'Initial unit rates'!U188</f>
        <v>-8.6521940527963997E-2</v>
      </c>
      <c r="V59" s="284">
        <f>'Initial unit rates'!V188</f>
        <v>-8.4033832776232179E-2</v>
      </c>
      <c r="W59" s="284">
        <f>'Initial unit rates'!W188</f>
        <v>-8.4033832776232179E-2</v>
      </c>
      <c r="X59" s="284">
        <f>'Initial unit rates'!X188</f>
        <v>0</v>
      </c>
      <c r="Y59" s="284">
        <f>'Initial unit rates'!Y188</f>
        <v>0</v>
      </c>
      <c r="Z59" s="269"/>
      <c r="AA59" s="269"/>
    </row>
    <row r="60" spans="3:27" x14ac:dyDescent="0.25">
      <c r="D60"/>
      <c r="F60" t="s">
        <v>198</v>
      </c>
      <c r="G60" t="s">
        <v>269</v>
      </c>
      <c r="H60" s="269"/>
      <c r="I60" s="269"/>
      <c r="J60" s="284">
        <f>'Initial unit rates'!J189</f>
        <v>3.6650243967416458E-2</v>
      </c>
      <c r="K60" s="284">
        <f>'Initial unit rates'!K189</f>
        <v>3.6650243967416458E-2</v>
      </c>
      <c r="L60" s="284">
        <f>'Initial unit rates'!L189</f>
        <v>3.1747673062226631E-2</v>
      </c>
      <c r="M60" s="284">
        <f>'Initial unit rates'!M189</f>
        <v>3.1747673062226631E-2</v>
      </c>
      <c r="N60" s="284">
        <f>'Initial unit rates'!N189</f>
        <v>2.6988492889996826E-2</v>
      </c>
      <c r="O60" s="284">
        <f>'Initial unit rates'!O189</f>
        <v>2.4115326009476204E-2</v>
      </c>
      <c r="P60" s="284">
        <f>'Initial unit rates'!P189</f>
        <v>0</v>
      </c>
      <c r="Q60" s="284">
        <f>'Initial unit rates'!Q189</f>
        <v>2.5017271842663582E-2</v>
      </c>
      <c r="R60" s="284">
        <f>'Initial unit rates'!R189</f>
        <v>-2.2132825200925296E-2</v>
      </c>
      <c r="S60" s="284">
        <f>'Initial unit rates'!S189</f>
        <v>0</v>
      </c>
      <c r="T60" s="284">
        <f>'Initial unit rates'!T189</f>
        <v>-2.2132825200925296E-2</v>
      </c>
      <c r="U60" s="284">
        <f>'Initial unit rates'!U189</f>
        <v>-2.2132825200925296E-2</v>
      </c>
      <c r="V60" s="284">
        <f>'Initial unit rates'!V189</f>
        <v>0</v>
      </c>
      <c r="W60" s="284">
        <f>'Initial unit rates'!W189</f>
        <v>0</v>
      </c>
      <c r="X60" s="284">
        <f>'Initial unit rates'!X189</f>
        <v>0</v>
      </c>
      <c r="Y60" s="284">
        <f>'Initial unit rates'!Y189</f>
        <v>0</v>
      </c>
      <c r="Z60" s="269"/>
      <c r="AA60" s="269"/>
    </row>
    <row r="61" spans="3:27" x14ac:dyDescent="0.25">
      <c r="D61"/>
      <c r="F61" t="s">
        <v>199</v>
      </c>
      <c r="G61" t="s">
        <v>269</v>
      </c>
      <c r="H61" s="269"/>
      <c r="I61" s="269"/>
      <c r="J61" s="284">
        <f>'Initial unit rates'!J190</f>
        <v>1.538093057419777E-2</v>
      </c>
      <c r="K61" s="284">
        <f>'Initial unit rates'!K190</f>
        <v>1.538093057419777E-2</v>
      </c>
      <c r="L61" s="284">
        <f>'Initial unit rates'!L190</f>
        <v>1.332347898411161E-2</v>
      </c>
      <c r="M61" s="284">
        <f>'Initial unit rates'!M190</f>
        <v>1.332347898411161E-2</v>
      </c>
      <c r="N61" s="284">
        <f>'Initial unit rates'!N190</f>
        <v>1.1326203880452175E-2</v>
      </c>
      <c r="O61" s="284">
        <f>'Initial unit rates'!O190</f>
        <v>0</v>
      </c>
      <c r="P61" s="284">
        <f>'Initial unit rates'!P190</f>
        <v>0</v>
      </c>
      <c r="Q61" s="284">
        <f>'Initial unit rates'!Q190</f>
        <v>1.0498945701696665E-2</v>
      </c>
      <c r="R61" s="284">
        <f>'Initial unit rates'!R190</f>
        <v>0</v>
      </c>
      <c r="S61" s="284">
        <f>'Initial unit rates'!S190</f>
        <v>0</v>
      </c>
      <c r="T61" s="284">
        <f>'Initial unit rates'!T190</f>
        <v>0</v>
      </c>
      <c r="U61" s="284">
        <f>'Initial unit rates'!U190</f>
        <v>0</v>
      </c>
      <c r="V61" s="284">
        <f>'Initial unit rates'!V190</f>
        <v>0</v>
      </c>
      <c r="W61" s="284">
        <f>'Initial unit rates'!W190</f>
        <v>0</v>
      </c>
      <c r="X61" s="284">
        <f>'Initial unit rates'!X190</f>
        <v>0</v>
      </c>
      <c r="Y61" s="284">
        <f>'Initial unit rates'!Y190</f>
        <v>0</v>
      </c>
      <c r="Z61" s="269"/>
      <c r="AA61" s="269"/>
    </row>
    <row r="62" spans="3:27" x14ac:dyDescent="0.25">
      <c r="D62"/>
      <c r="F62" s="23" t="s">
        <v>376</v>
      </c>
      <c r="G62" s="23" t="s">
        <v>269</v>
      </c>
      <c r="H62" s="267"/>
      <c r="I62" s="267"/>
      <c r="J62" s="285"/>
      <c r="K62" s="285"/>
      <c r="L62" s="285"/>
      <c r="M62" s="285"/>
      <c r="N62" s="285"/>
      <c r="O62" s="285"/>
      <c r="P62" s="285"/>
      <c r="Q62" s="285"/>
      <c r="R62" s="285"/>
      <c r="S62" s="285"/>
      <c r="T62" s="285"/>
      <c r="U62" s="285"/>
      <c r="V62" s="285"/>
      <c r="W62" s="285"/>
      <c r="X62" s="285"/>
      <c r="Y62" s="285"/>
      <c r="Z62" s="269"/>
      <c r="AA62" s="269"/>
    </row>
    <row r="63" spans="3:27" x14ac:dyDescent="0.25">
      <c r="D63"/>
      <c r="F63" s="37" t="s">
        <v>377</v>
      </c>
      <c r="G63" s="37" t="s">
        <v>269</v>
      </c>
      <c r="H63" s="273"/>
      <c r="I63" s="273"/>
      <c r="J63" s="274"/>
      <c r="K63" s="274"/>
      <c r="L63" s="274"/>
      <c r="M63" s="274"/>
      <c r="N63" s="274"/>
      <c r="O63" s="274"/>
      <c r="P63" s="274"/>
      <c r="Q63" s="274"/>
      <c r="R63" s="274"/>
      <c r="S63" s="274"/>
      <c r="T63" s="274"/>
      <c r="U63" s="274"/>
      <c r="V63" s="274"/>
      <c r="W63" s="274"/>
      <c r="X63" s="274"/>
      <c r="Y63" s="274"/>
      <c r="Z63" s="269"/>
      <c r="AA63" s="269"/>
    </row>
    <row r="64" spans="3:27" x14ac:dyDescent="0.25">
      <c r="D64"/>
      <c r="J64" s="89"/>
      <c r="K64" s="89"/>
      <c r="L64" s="89"/>
      <c r="M64" s="89"/>
      <c r="N64" s="89"/>
      <c r="O64" s="89"/>
      <c r="P64" s="89"/>
      <c r="Q64" s="89"/>
      <c r="R64" s="89"/>
      <c r="S64" s="89"/>
      <c r="T64" s="89"/>
      <c r="U64" s="89"/>
      <c r="V64" s="89"/>
      <c r="W64" s="89"/>
      <c r="X64" s="89"/>
      <c r="Y64" s="89"/>
    </row>
    <row r="65" spans="3:27" x14ac:dyDescent="0.25">
      <c r="D65"/>
      <c r="E65" s="32" t="s">
        <v>622</v>
      </c>
      <c r="J65" s="89"/>
      <c r="K65" s="89"/>
      <c r="L65" s="89"/>
      <c r="M65" s="89"/>
      <c r="N65" s="89"/>
      <c r="O65" s="89"/>
      <c r="P65" s="89"/>
      <c r="Q65" s="89"/>
      <c r="R65" s="89"/>
      <c r="S65" s="89"/>
      <c r="T65" s="89"/>
      <c r="U65" s="89"/>
      <c r="V65" s="89"/>
      <c r="W65" s="89"/>
      <c r="X65" s="89"/>
      <c r="Y65" s="89"/>
    </row>
    <row r="66" spans="3:27" x14ac:dyDescent="0.25">
      <c r="D66"/>
      <c r="F66" s="23" t="s">
        <v>189</v>
      </c>
      <c r="G66" s="23" t="s">
        <v>269</v>
      </c>
      <c r="H66" s="267"/>
      <c r="I66" s="267"/>
      <c r="J66" s="283">
        <f>'Initial unit rates'!J193</f>
        <v>2.746679637175034E-2</v>
      </c>
      <c r="K66" s="283">
        <f>'Initial unit rates'!K193</f>
        <v>2.746679637175034E-2</v>
      </c>
      <c r="L66" s="283">
        <f>'Initial unit rates'!L193</f>
        <v>2.3792662118493169E-2</v>
      </c>
      <c r="M66" s="283">
        <f>'Initial unit rates'!M193</f>
        <v>2.3792662118493169E-2</v>
      </c>
      <c r="N66" s="283">
        <f>'Initial unit rates'!N193</f>
        <v>2.0225989198025769E-2</v>
      </c>
      <c r="O66" s="283">
        <f>'Initial unit rates'!O193</f>
        <v>1.8072751426417014E-2</v>
      </c>
      <c r="P66" s="283">
        <f>'Initial unit rates'!P193</f>
        <v>1.6290420781217688E-2</v>
      </c>
      <c r="Q66" s="283">
        <f>'Initial unit rates'!Q193</f>
        <v>3.5045328455294372E-2</v>
      </c>
      <c r="R66" s="283">
        <f>'Initial unit rates'!R193</f>
        <v>-1.6587005627188255E-2</v>
      </c>
      <c r="S66" s="283">
        <f>'Initial unit rates'!S193</f>
        <v>-1.6110013814161502E-2</v>
      </c>
      <c r="T66" s="283">
        <f>'Initial unit rates'!T193</f>
        <v>-1.6587005627188255E-2</v>
      </c>
      <c r="U66" s="283">
        <f>'Initial unit rates'!U193</f>
        <v>-1.6587005627188255E-2</v>
      </c>
      <c r="V66" s="283">
        <f>'Initial unit rates'!V193</f>
        <v>-1.6110013814161502E-2</v>
      </c>
      <c r="W66" s="283">
        <f>'Initial unit rates'!W193</f>
        <v>-1.6110013814161502E-2</v>
      </c>
      <c r="X66" s="283">
        <f>'Initial unit rates'!X193</f>
        <v>-1.5940758654700401E-2</v>
      </c>
      <c r="Y66" s="283">
        <f>'Initial unit rates'!Y193</f>
        <v>-1.5940758654700401E-2</v>
      </c>
      <c r="Z66" s="269"/>
      <c r="AA66" s="269"/>
    </row>
    <row r="67" spans="3:27" x14ac:dyDescent="0.25">
      <c r="D67"/>
      <c r="F67" t="s">
        <v>191</v>
      </c>
      <c r="G67" t="s">
        <v>269</v>
      </c>
      <c r="H67" s="269"/>
      <c r="I67" s="269"/>
      <c r="J67" s="284">
        <f>'Initial unit rates'!J194</f>
        <v>0</v>
      </c>
      <c r="K67" s="284">
        <f>'Initial unit rates'!K194</f>
        <v>0</v>
      </c>
      <c r="L67" s="284">
        <f>'Initial unit rates'!L194</f>
        <v>0</v>
      </c>
      <c r="M67" s="284">
        <f>'Initial unit rates'!M194</f>
        <v>0</v>
      </c>
      <c r="N67" s="284">
        <f>'Initial unit rates'!N194</f>
        <v>0</v>
      </c>
      <c r="O67" s="284">
        <f>'Initial unit rates'!O194</f>
        <v>0</v>
      </c>
      <c r="P67" s="284">
        <f>'Initial unit rates'!P194</f>
        <v>0</v>
      </c>
      <c r="Q67" s="284">
        <f>'Initial unit rates'!Q194</f>
        <v>0</v>
      </c>
      <c r="R67" s="284">
        <f>'Initial unit rates'!R194</f>
        <v>0</v>
      </c>
      <c r="S67" s="284">
        <f>'Initial unit rates'!S194</f>
        <v>0</v>
      </c>
      <c r="T67" s="284">
        <f>'Initial unit rates'!T194</f>
        <v>0</v>
      </c>
      <c r="U67" s="284">
        <f>'Initial unit rates'!U194</f>
        <v>0</v>
      </c>
      <c r="V67" s="284">
        <f>'Initial unit rates'!V194</f>
        <v>0</v>
      </c>
      <c r="W67" s="284">
        <f>'Initial unit rates'!W194</f>
        <v>0</v>
      </c>
      <c r="X67" s="284">
        <f>'Initial unit rates'!X194</f>
        <v>0</v>
      </c>
      <c r="Y67" s="284">
        <f>'Initial unit rates'!Y194</f>
        <v>0</v>
      </c>
      <c r="Z67" s="269"/>
      <c r="AA67" s="269"/>
    </row>
    <row r="68" spans="3:27" x14ac:dyDescent="0.25">
      <c r="D68"/>
      <c r="F68" t="s">
        <v>192</v>
      </c>
      <c r="G68" t="s">
        <v>269</v>
      </c>
      <c r="H68" s="269"/>
      <c r="I68" s="269"/>
      <c r="J68" s="284">
        <f>'Initial unit rates'!J195</f>
        <v>5.2114738044284743E-2</v>
      </c>
      <c r="K68" s="284">
        <f>'Initial unit rates'!K195</f>
        <v>5.2114738044284743E-2</v>
      </c>
      <c r="L68" s="284">
        <f>'Initial unit rates'!L195</f>
        <v>4.5143537560745087E-2</v>
      </c>
      <c r="M68" s="284">
        <f>'Initial unit rates'!M195</f>
        <v>4.5143537560745087E-2</v>
      </c>
      <c r="N68" s="284">
        <f>'Initial unit rates'!N195</f>
        <v>3.8376231231166132E-2</v>
      </c>
      <c r="O68" s="284">
        <f>'Initial unit rates'!O195</f>
        <v>3.4290737571997944E-2</v>
      </c>
      <c r="P68" s="284">
        <f>'Initial unit rates'!P195</f>
        <v>3.0908992812773046E-2</v>
      </c>
      <c r="Q68" s="284">
        <f>'Initial unit rates'!Q195</f>
        <v>3.7695067377086514E-2</v>
      </c>
      <c r="R68" s="284">
        <f>'Initial unit rates'!R195</f>
        <v>-3.1471724678057408E-2</v>
      </c>
      <c r="S68" s="284">
        <f>'Initial unit rates'!S195</f>
        <v>-3.0566693634439795E-2</v>
      </c>
      <c r="T68" s="284">
        <f>'Initial unit rates'!T195</f>
        <v>-3.1471724678057408E-2</v>
      </c>
      <c r="U68" s="284">
        <f>'Initial unit rates'!U195</f>
        <v>-3.1471724678057408E-2</v>
      </c>
      <c r="V68" s="284">
        <f>'Initial unit rates'!V195</f>
        <v>-3.0566693634439795E-2</v>
      </c>
      <c r="W68" s="284">
        <f>'Initial unit rates'!W195</f>
        <v>-3.0566693634439795E-2</v>
      </c>
      <c r="X68" s="284">
        <f>'Initial unit rates'!X195</f>
        <v>-3.0245553586704523E-2</v>
      </c>
      <c r="Y68" s="284">
        <f>'Initial unit rates'!Y195</f>
        <v>-3.0245553586704523E-2</v>
      </c>
      <c r="Z68" s="269"/>
      <c r="AA68" s="269"/>
    </row>
    <row r="69" spans="3:27" x14ac:dyDescent="0.25">
      <c r="D69"/>
      <c r="F69" t="s">
        <v>193</v>
      </c>
      <c r="G69" t="s">
        <v>269</v>
      </c>
      <c r="H69" s="269"/>
      <c r="I69" s="269"/>
      <c r="J69" s="284">
        <f>'Initial unit rates'!J196</f>
        <v>2.7229464347153221E-2</v>
      </c>
      <c r="K69" s="284">
        <f>'Initial unit rates'!K196</f>
        <v>2.7229464347153221E-2</v>
      </c>
      <c r="L69" s="284">
        <f>'Initial unit rates'!L196</f>
        <v>2.3587077142556735E-2</v>
      </c>
      <c r="M69" s="284">
        <f>'Initial unit rates'!M196</f>
        <v>2.3587077142556735E-2</v>
      </c>
      <c r="N69" s="284">
        <f>'Initial unit rates'!N196</f>
        <v>2.0051222730874761E-2</v>
      </c>
      <c r="O69" s="284">
        <f>'Initial unit rates'!O196</f>
        <v>1.7916590415572538E-2</v>
      </c>
      <c r="P69" s="284">
        <f>'Initial unit rates'!P196</f>
        <v>1.6149660333831774E-2</v>
      </c>
      <c r="Q69" s="284">
        <f>'Initial unit rates'!Q196</f>
        <v>1.9695320973036713E-2</v>
      </c>
      <c r="R69" s="284">
        <f>'Initial unit rates'!R196</f>
        <v>-1.6443682482609471E-2</v>
      </c>
      <c r="S69" s="284">
        <f>'Initial unit rates'!S196</f>
        <v>-1.5970812207135546E-2</v>
      </c>
      <c r="T69" s="284">
        <f>'Initial unit rates'!T196</f>
        <v>-1.6443682482609471E-2</v>
      </c>
      <c r="U69" s="284">
        <f>'Initial unit rates'!U196</f>
        <v>-1.6443682482609471E-2</v>
      </c>
      <c r="V69" s="284">
        <f>'Initial unit rates'!V196</f>
        <v>-1.5970812207135546E-2</v>
      </c>
      <c r="W69" s="284">
        <f>'Initial unit rates'!W196</f>
        <v>-1.5970812207135546E-2</v>
      </c>
      <c r="X69" s="284">
        <f>'Initial unit rates'!X196</f>
        <v>-1.5803019528741569E-2</v>
      </c>
      <c r="Y69" s="284">
        <f>'Initial unit rates'!Y196</f>
        <v>-1.5803019528741569E-2</v>
      </c>
      <c r="Z69" s="269"/>
      <c r="AA69" s="269"/>
    </row>
    <row r="70" spans="3:27" x14ac:dyDescent="0.25">
      <c r="D70"/>
      <c r="F70" t="s">
        <v>194</v>
      </c>
      <c r="G70" t="s">
        <v>269</v>
      </c>
      <c r="H70" s="269"/>
      <c r="I70" s="269"/>
      <c r="J70" s="284">
        <f>'Initial unit rates'!J197</f>
        <v>4.7121259141966167E-2</v>
      </c>
      <c r="K70" s="284">
        <f>'Initial unit rates'!K197</f>
        <v>4.7121259141966167E-2</v>
      </c>
      <c r="L70" s="284">
        <f>'Initial unit rates'!L197</f>
        <v>4.0818018315228542E-2</v>
      </c>
      <c r="M70" s="284">
        <f>'Initial unit rates'!M197</f>
        <v>4.0818018315228542E-2</v>
      </c>
      <c r="N70" s="284">
        <f>'Initial unit rates'!N197</f>
        <v>3.4699135112204765E-2</v>
      </c>
      <c r="O70" s="284">
        <f>'Initial unit rates'!O197</f>
        <v>3.1005101281065983E-2</v>
      </c>
      <c r="P70" s="284">
        <f>'Initial unit rates'!P197</f>
        <v>2.7947385227384346E-2</v>
      </c>
      <c r="Q70" s="284">
        <f>'Initial unit rates'!Q197</f>
        <v>3.2164734034818565E-2</v>
      </c>
      <c r="R70" s="284">
        <f>'Initial unit rates'!R197</f>
        <v>-2.8456197802225917E-2</v>
      </c>
      <c r="S70" s="284">
        <f>'Initial unit rates'!S197</f>
        <v>-2.7637884136299199E-2</v>
      </c>
      <c r="T70" s="284">
        <f>'Initial unit rates'!T197</f>
        <v>-2.8456197802225917E-2</v>
      </c>
      <c r="U70" s="284">
        <f>'Initial unit rates'!U197</f>
        <v>-2.8456197802225917E-2</v>
      </c>
      <c r="V70" s="284">
        <f>'Initial unit rates'!V197</f>
        <v>-2.7637884136299199E-2</v>
      </c>
      <c r="W70" s="284">
        <f>'Initial unit rates'!W197</f>
        <v>-2.7637884136299199E-2</v>
      </c>
      <c r="X70" s="284">
        <f>'Initial unit rates'!X197</f>
        <v>-2.734751477097036E-2</v>
      </c>
      <c r="Y70" s="284">
        <f>'Initial unit rates'!Y197</f>
        <v>-2.734751477097036E-2</v>
      </c>
      <c r="Z70" s="269"/>
      <c r="AA70" s="269"/>
    </row>
    <row r="71" spans="3:27" x14ac:dyDescent="0.25">
      <c r="D71"/>
      <c r="F71" t="s">
        <v>195</v>
      </c>
      <c r="G71" t="s">
        <v>269</v>
      </c>
      <c r="H71" s="269"/>
      <c r="I71" s="269"/>
      <c r="J71" s="284">
        <f>'Initial unit rates'!J198</f>
        <v>7.5804647358639385E-2</v>
      </c>
      <c r="K71" s="284">
        <f>'Initial unit rates'!K198</f>
        <v>7.5804647358639385E-2</v>
      </c>
      <c r="L71" s="284">
        <f>'Initial unit rates'!L198</f>
        <v>6.5664533176888196E-2</v>
      </c>
      <c r="M71" s="284">
        <f>'Initial unit rates'!M198</f>
        <v>6.5664533176888196E-2</v>
      </c>
      <c r="N71" s="284">
        <f>'Initial unit rates'!N198</f>
        <v>5.5820997756145935E-2</v>
      </c>
      <c r="O71" s="284">
        <f>'Initial unit rates'!O198</f>
        <v>4.9878352398204519E-2</v>
      </c>
      <c r="P71" s="284">
        <f>'Initial unit rates'!P198</f>
        <v>4.4959360601447652E-2</v>
      </c>
      <c r="Q71" s="284">
        <f>'Initial unit rates'!Q198</f>
        <v>5.1743870288948959E-2</v>
      </c>
      <c r="R71" s="284">
        <f>'Initial unit rates'!R198</f>
        <v>-4.5777894709190872E-2</v>
      </c>
      <c r="S71" s="284">
        <f>'Initial unit rates'!S198</f>
        <v>-4.4461461744455318E-2</v>
      </c>
      <c r="T71" s="284">
        <f>'Initial unit rates'!T198</f>
        <v>-4.5777894709190872E-2</v>
      </c>
      <c r="U71" s="284">
        <f>'Initial unit rates'!U198</f>
        <v>-4.5777894709190872E-2</v>
      </c>
      <c r="V71" s="284">
        <f>'Initial unit rates'!V198</f>
        <v>-4.4461461744455318E-2</v>
      </c>
      <c r="W71" s="284">
        <f>'Initial unit rates'!W198</f>
        <v>-4.4461461744455318E-2</v>
      </c>
      <c r="X71" s="284">
        <f>'Initial unit rates'!X198</f>
        <v>-4.3994340369871744E-2</v>
      </c>
      <c r="Y71" s="284">
        <f>'Initial unit rates'!Y198</f>
        <v>-4.3994340369871744E-2</v>
      </c>
      <c r="Z71" s="269"/>
      <c r="AA71" s="269"/>
    </row>
    <row r="72" spans="3:27" x14ac:dyDescent="0.25">
      <c r="D72"/>
      <c r="F72" t="s">
        <v>196</v>
      </c>
      <c r="G72" t="s">
        <v>269</v>
      </c>
      <c r="H72" s="269"/>
      <c r="I72" s="269"/>
      <c r="J72" s="284">
        <f>'Initial unit rates'!J199</f>
        <v>4.5568154278263755E-3</v>
      </c>
      <c r="K72" s="284">
        <f>'Initial unit rates'!K199</f>
        <v>4.5568154278263755E-3</v>
      </c>
      <c r="L72" s="284">
        <f>'Initial unit rates'!L199</f>
        <v>3.9472666685700115E-3</v>
      </c>
      <c r="M72" s="284">
        <f>'Initial unit rates'!M199</f>
        <v>3.9472666685700115E-3</v>
      </c>
      <c r="N72" s="284">
        <f>'Initial unit rates'!N199</f>
        <v>3.3555460335886306E-3</v>
      </c>
      <c r="O72" s="284">
        <f>'Initial unit rates'!O199</f>
        <v>2.9983180931821242E-3</v>
      </c>
      <c r="P72" s="284">
        <f>'Initial unit rates'!P199</f>
        <v>2.7026246431121601E-3</v>
      </c>
      <c r="Q72" s="284">
        <f>'Initial unit rates'!Q199</f>
        <v>3.2959863375097579E-3</v>
      </c>
      <c r="R72" s="284">
        <f>'Initial unit rates'!R199</f>
        <v>-2.7518288671318281E-3</v>
      </c>
      <c r="S72" s="284">
        <f>'Initial unit rates'!S199</f>
        <v>-2.6726946418246969E-3</v>
      </c>
      <c r="T72" s="284">
        <f>'Initial unit rates'!T199</f>
        <v>-2.7518288671318281E-3</v>
      </c>
      <c r="U72" s="284">
        <f>'Initial unit rates'!U199</f>
        <v>-2.7518288671318281E-3</v>
      </c>
      <c r="V72" s="284">
        <f>'Initial unit rates'!V199</f>
        <v>-2.6726946418246969E-3</v>
      </c>
      <c r="W72" s="284">
        <f>'Initial unit rates'!W199</f>
        <v>-2.6726946418246969E-3</v>
      </c>
      <c r="X72" s="284">
        <f>'Initial unit rates'!X199</f>
        <v>-2.6446147554253928E-3</v>
      </c>
      <c r="Y72" s="284">
        <f>'Initial unit rates'!Y199</f>
        <v>-2.6446147554253928E-3</v>
      </c>
      <c r="Z72" s="269"/>
      <c r="AA72" s="269"/>
    </row>
    <row r="73" spans="3:27" x14ac:dyDescent="0.25">
      <c r="D73"/>
      <c r="F73" t="s">
        <v>197</v>
      </c>
      <c r="G73" t="s">
        <v>269</v>
      </c>
      <c r="H73" s="269"/>
      <c r="I73" s="269"/>
      <c r="J73" s="284">
        <f>'Initial unit rates'!J200</f>
        <v>0.17464092900801556</v>
      </c>
      <c r="K73" s="284">
        <f>'Initial unit rates'!K200</f>
        <v>0.17464092900801556</v>
      </c>
      <c r="L73" s="284">
        <f>'Initial unit rates'!L200</f>
        <v>0.15127984202122208</v>
      </c>
      <c r="M73" s="284">
        <f>'Initial unit rates'!M200</f>
        <v>0.15127984202122208</v>
      </c>
      <c r="N73" s="284">
        <f>'Initial unit rates'!N200</f>
        <v>0.12860202172257232</v>
      </c>
      <c r="O73" s="284">
        <f>'Initial unit rates'!O200</f>
        <v>0.11491118425760811</v>
      </c>
      <c r="P73" s="284">
        <f>'Initial unit rates'!P200</f>
        <v>0.10357866933798661</v>
      </c>
      <c r="Q73" s="284">
        <f>'Initial unit rates'!Q200</f>
        <v>0.11920901808274696</v>
      </c>
      <c r="R73" s="284">
        <f>'Initial unit rates'!R200</f>
        <v>-0.10546443178108217</v>
      </c>
      <c r="S73" s="284">
        <f>'Initial unit rates'!S200</f>
        <v>-0.1024315956166911</v>
      </c>
      <c r="T73" s="284">
        <f>'Initial unit rates'!T200</f>
        <v>-0.10546443178108217</v>
      </c>
      <c r="U73" s="284">
        <f>'Initial unit rates'!U200</f>
        <v>-0.10546443178108217</v>
      </c>
      <c r="V73" s="284">
        <f>'Initial unit rates'!V200</f>
        <v>-0.1024315956166911</v>
      </c>
      <c r="W73" s="284">
        <f>'Initial unit rates'!W200</f>
        <v>-0.1024315956166911</v>
      </c>
      <c r="X73" s="284">
        <f>'Initial unit rates'!X200</f>
        <v>0</v>
      </c>
      <c r="Y73" s="284">
        <f>'Initial unit rates'!Y200</f>
        <v>0</v>
      </c>
      <c r="Z73" s="269"/>
      <c r="AA73" s="269"/>
    </row>
    <row r="74" spans="3:27" x14ac:dyDescent="0.25">
      <c r="D74"/>
      <c r="F74" t="s">
        <v>198</v>
      </c>
      <c r="G74" t="s">
        <v>269</v>
      </c>
      <c r="H74" s="269"/>
      <c r="I74" s="269"/>
      <c r="J74" s="284">
        <f>'Initial unit rates'!J201</f>
        <v>7.9942259257553411E-2</v>
      </c>
      <c r="K74" s="284">
        <f>'Initial unit rates'!K201</f>
        <v>7.9942259257553411E-2</v>
      </c>
      <c r="L74" s="284">
        <f>'Initial unit rates'!L201</f>
        <v>6.9248671660165018E-2</v>
      </c>
      <c r="M74" s="284">
        <f>'Initial unit rates'!M201</f>
        <v>6.9248671660165018E-2</v>
      </c>
      <c r="N74" s="284">
        <f>'Initial unit rates'!N201</f>
        <v>5.8867850852531454E-2</v>
      </c>
      <c r="O74" s="284">
        <f>'Initial unit rates'!O201</f>
        <v>5.2600840683185872E-2</v>
      </c>
      <c r="P74" s="284">
        <f>'Initial unit rates'!P201</f>
        <v>0</v>
      </c>
      <c r="Q74" s="284">
        <f>'Initial unit rates'!Q201</f>
        <v>5.4568183320714794E-2</v>
      </c>
      <c r="R74" s="284">
        <f>'Initial unit rates'!R201</f>
        <v>-4.827656950626312E-2</v>
      </c>
      <c r="S74" s="284">
        <f>'Initial unit rates'!S201</f>
        <v>0</v>
      </c>
      <c r="T74" s="284">
        <f>'Initial unit rates'!T201</f>
        <v>-4.827656950626312E-2</v>
      </c>
      <c r="U74" s="284">
        <f>'Initial unit rates'!U201</f>
        <v>-4.827656950626312E-2</v>
      </c>
      <c r="V74" s="284">
        <f>'Initial unit rates'!V201</f>
        <v>0</v>
      </c>
      <c r="W74" s="284">
        <f>'Initial unit rates'!W201</f>
        <v>0</v>
      </c>
      <c r="X74" s="284">
        <f>'Initial unit rates'!X201</f>
        <v>0</v>
      </c>
      <c r="Y74" s="284">
        <f>'Initial unit rates'!Y201</f>
        <v>0</v>
      </c>
      <c r="Z74" s="269"/>
      <c r="AA74" s="269"/>
    </row>
    <row r="75" spans="3:27" x14ac:dyDescent="0.25">
      <c r="D75"/>
      <c r="F75" t="s">
        <v>199</v>
      </c>
      <c r="G75" t="s">
        <v>269</v>
      </c>
      <c r="H75" s="269"/>
      <c r="I75" s="269"/>
      <c r="J75" s="284">
        <f>'Initial unit rates'!J202</f>
        <v>0.15934143808316695</v>
      </c>
      <c r="K75" s="284">
        <f>'Initial unit rates'!K202</f>
        <v>0.15934143808316695</v>
      </c>
      <c r="L75" s="284">
        <f>'Initial unit rates'!L202</f>
        <v>0.13802690879839211</v>
      </c>
      <c r="M75" s="284">
        <f>'Initial unit rates'!M202</f>
        <v>0.13802690879839211</v>
      </c>
      <c r="N75" s="284">
        <f>'Initial unit rates'!N202</f>
        <v>0.11733578834052605</v>
      </c>
      <c r="O75" s="284">
        <f>'Initial unit rates'!O202</f>
        <v>0</v>
      </c>
      <c r="P75" s="284">
        <f>'Initial unit rates'!P202</f>
        <v>0</v>
      </c>
      <c r="Q75" s="284">
        <f>'Initial unit rates'!Q202</f>
        <v>0.10876566267530183</v>
      </c>
      <c r="R75" s="284">
        <f>'Initial unit rates'!R202</f>
        <v>0</v>
      </c>
      <c r="S75" s="284">
        <f>'Initial unit rates'!S202</f>
        <v>0</v>
      </c>
      <c r="T75" s="284">
        <f>'Initial unit rates'!T202</f>
        <v>0</v>
      </c>
      <c r="U75" s="284">
        <f>'Initial unit rates'!U202</f>
        <v>0</v>
      </c>
      <c r="V75" s="284">
        <f>'Initial unit rates'!V202</f>
        <v>0</v>
      </c>
      <c r="W75" s="284">
        <f>'Initial unit rates'!W202</f>
        <v>0</v>
      </c>
      <c r="X75" s="284">
        <f>'Initial unit rates'!X202</f>
        <v>0</v>
      </c>
      <c r="Y75" s="284">
        <f>'Initial unit rates'!Y202</f>
        <v>0</v>
      </c>
      <c r="Z75" s="269"/>
      <c r="AA75" s="269"/>
    </row>
    <row r="76" spans="3:27" x14ac:dyDescent="0.25">
      <c r="D76"/>
      <c r="F76" s="23" t="s">
        <v>376</v>
      </c>
      <c r="G76" s="23" t="s">
        <v>269</v>
      </c>
      <c r="H76" s="267"/>
      <c r="I76" s="267" t="s">
        <v>154</v>
      </c>
      <c r="J76" s="285"/>
      <c r="K76" s="285"/>
      <c r="L76" s="285"/>
      <c r="M76" s="285"/>
      <c r="N76" s="285"/>
      <c r="O76" s="285"/>
      <c r="P76" s="285"/>
      <c r="Q76" s="283">
        <f>'Service model charges'!$Q$44</f>
        <v>0.79060175753563178</v>
      </c>
      <c r="R76" s="285"/>
      <c r="S76" s="285"/>
      <c r="T76" s="285"/>
      <c r="U76" s="285"/>
      <c r="V76" s="285"/>
      <c r="W76" s="285"/>
      <c r="X76" s="285"/>
      <c r="Y76" s="285"/>
      <c r="Z76" s="269"/>
      <c r="AA76" s="269" t="s">
        <v>654</v>
      </c>
    </row>
    <row r="77" spans="3:27" x14ac:dyDescent="0.25">
      <c r="D77"/>
      <c r="F77" s="37" t="s">
        <v>377</v>
      </c>
      <c r="G77" s="37" t="s">
        <v>269</v>
      </c>
      <c r="H77" s="273"/>
      <c r="I77" s="273"/>
      <c r="J77" s="274"/>
      <c r="K77" s="274"/>
      <c r="L77" s="274"/>
      <c r="M77" s="274"/>
      <c r="N77" s="274"/>
      <c r="O77" s="274"/>
      <c r="P77" s="274"/>
      <c r="Q77" s="274"/>
      <c r="R77" s="274"/>
      <c r="S77" s="274"/>
      <c r="T77" s="274"/>
      <c r="U77" s="274"/>
      <c r="V77" s="274"/>
      <c r="W77" s="274"/>
      <c r="X77" s="274"/>
      <c r="Y77" s="274"/>
      <c r="Z77" s="269"/>
      <c r="AA77" s="269"/>
    </row>
    <row r="78" spans="3:27" x14ac:dyDescent="0.25">
      <c r="J78" s="89"/>
      <c r="K78" s="89"/>
      <c r="L78" s="89"/>
      <c r="M78" s="89"/>
      <c r="N78" s="89"/>
      <c r="O78" s="89"/>
      <c r="P78" s="89"/>
      <c r="Q78" s="89"/>
      <c r="R78" s="89"/>
      <c r="S78" s="89"/>
      <c r="T78" s="89"/>
      <c r="U78" s="89"/>
      <c r="V78" s="89"/>
      <c r="W78" s="89"/>
      <c r="X78" s="89"/>
      <c r="Y78" s="89"/>
    </row>
    <row r="79" spans="3:27" x14ac:dyDescent="0.25">
      <c r="C79" s="31" t="str">
        <f ca="1">INDEX('Version control'!$H$34:$H$57,MATCH($A$1,'Version control'!$F$34:$F$57,0),1)&amp;"-C: Initial unit rate 3"</f>
        <v>Section 111-C: Initial unit rate 3</v>
      </c>
      <c r="D79" s="31"/>
      <c r="E79" s="31"/>
      <c r="F79" s="31"/>
      <c r="G79" s="31"/>
      <c r="H79" s="31"/>
      <c r="I79" s="31"/>
      <c r="J79" s="90"/>
      <c r="K79" s="90"/>
      <c r="L79" s="90"/>
      <c r="M79" s="90"/>
      <c r="N79" s="90"/>
      <c r="O79" s="90"/>
      <c r="P79" s="90"/>
      <c r="Q79" s="90"/>
      <c r="R79" s="90"/>
      <c r="S79" s="90"/>
      <c r="T79" s="90"/>
      <c r="U79" s="90"/>
      <c r="V79" s="90"/>
      <c r="W79" s="90"/>
      <c r="X79" s="90"/>
      <c r="Y79" s="90"/>
      <c r="Z79" s="31"/>
      <c r="AA79" s="31"/>
    </row>
    <row r="80" spans="3:27" x14ac:dyDescent="0.25">
      <c r="D80" s="32"/>
      <c r="E80" s="32"/>
      <c r="J80" s="89"/>
      <c r="K80" s="89"/>
      <c r="L80" s="89"/>
      <c r="M80" s="89"/>
      <c r="N80" s="89"/>
      <c r="O80" s="89"/>
      <c r="P80" s="89"/>
      <c r="Q80" s="89"/>
      <c r="R80" s="89"/>
      <c r="S80" s="89"/>
      <c r="T80" s="89"/>
      <c r="U80" s="89"/>
      <c r="V80" s="89"/>
      <c r="W80" s="89"/>
      <c r="X80" s="89"/>
      <c r="Y80" s="89"/>
    </row>
    <row r="81" spans="4:27" x14ac:dyDescent="0.25">
      <c r="D81"/>
      <c r="E81" s="32" t="s">
        <v>621</v>
      </c>
      <c r="J81" s="89"/>
      <c r="K81" s="89"/>
      <c r="L81" s="89"/>
      <c r="M81" s="89"/>
      <c r="N81" s="89"/>
      <c r="O81" s="89"/>
      <c r="P81" s="89"/>
      <c r="Q81" s="89"/>
      <c r="R81" s="89"/>
      <c r="S81" s="89"/>
      <c r="T81" s="89"/>
      <c r="U81" s="89"/>
      <c r="V81" s="89"/>
      <c r="W81" s="89"/>
      <c r="X81" s="89"/>
      <c r="Y81" s="89"/>
    </row>
    <row r="82" spans="4:27" x14ac:dyDescent="0.25">
      <c r="D82"/>
      <c r="F82" s="23" t="s">
        <v>189</v>
      </c>
      <c r="G82" s="23" t="s">
        <v>269</v>
      </c>
      <c r="H82" s="267"/>
      <c r="I82" s="267"/>
      <c r="J82" s="283">
        <f>'Initial unit rates'!J210</f>
        <v>0</v>
      </c>
      <c r="K82" s="283">
        <f>'Initial unit rates'!K210</f>
        <v>0</v>
      </c>
      <c r="L82" s="283">
        <f>'Initial unit rates'!L210</f>
        <v>0</v>
      </c>
      <c r="M82" s="283">
        <f>'Initial unit rates'!M210</f>
        <v>0</v>
      </c>
      <c r="N82" s="283">
        <f>'Initial unit rates'!N210</f>
        <v>0</v>
      </c>
      <c r="O82" s="283">
        <f>'Initial unit rates'!O210</f>
        <v>0</v>
      </c>
      <c r="P82" s="283">
        <f>'Initial unit rates'!P210</f>
        <v>0</v>
      </c>
      <c r="Q82" s="283">
        <f>'Initial unit rates'!Q210</f>
        <v>0</v>
      </c>
      <c r="R82" s="283">
        <f>'Initial unit rates'!R210</f>
        <v>0</v>
      </c>
      <c r="S82" s="283">
        <f>'Initial unit rates'!S210</f>
        <v>0</v>
      </c>
      <c r="T82" s="283">
        <f>'Initial unit rates'!T210</f>
        <v>0</v>
      </c>
      <c r="U82" s="283">
        <f>'Initial unit rates'!U210</f>
        <v>0</v>
      </c>
      <c r="V82" s="283">
        <f>'Initial unit rates'!V210</f>
        <v>0</v>
      </c>
      <c r="W82" s="283">
        <f>'Initial unit rates'!W210</f>
        <v>0</v>
      </c>
      <c r="X82" s="283">
        <f>'Initial unit rates'!X210</f>
        <v>0</v>
      </c>
      <c r="Y82" s="283">
        <f>'Initial unit rates'!Y210</f>
        <v>0</v>
      </c>
      <c r="Z82" s="269"/>
      <c r="AA82" s="269"/>
    </row>
    <row r="83" spans="4:27" x14ac:dyDescent="0.25">
      <c r="D83"/>
      <c r="F83" t="s">
        <v>191</v>
      </c>
      <c r="G83" t="s">
        <v>269</v>
      </c>
      <c r="H83" s="269"/>
      <c r="I83" s="269"/>
      <c r="J83" s="284">
        <f>'Initial unit rates'!J211</f>
        <v>0</v>
      </c>
      <c r="K83" s="284">
        <f>'Initial unit rates'!K211</f>
        <v>0</v>
      </c>
      <c r="L83" s="284">
        <f>'Initial unit rates'!L211</f>
        <v>0</v>
      </c>
      <c r="M83" s="284">
        <f>'Initial unit rates'!M211</f>
        <v>0</v>
      </c>
      <c r="N83" s="284">
        <f>'Initial unit rates'!N211</f>
        <v>0</v>
      </c>
      <c r="O83" s="284">
        <f>'Initial unit rates'!O211</f>
        <v>0</v>
      </c>
      <c r="P83" s="284">
        <f>'Initial unit rates'!P211</f>
        <v>0</v>
      </c>
      <c r="Q83" s="284">
        <f>'Initial unit rates'!Q211</f>
        <v>0</v>
      </c>
      <c r="R83" s="284">
        <f>'Initial unit rates'!R211</f>
        <v>0</v>
      </c>
      <c r="S83" s="284">
        <f>'Initial unit rates'!S211</f>
        <v>0</v>
      </c>
      <c r="T83" s="284">
        <f>'Initial unit rates'!T211</f>
        <v>0</v>
      </c>
      <c r="U83" s="284">
        <f>'Initial unit rates'!U211</f>
        <v>0</v>
      </c>
      <c r="V83" s="284">
        <f>'Initial unit rates'!V211</f>
        <v>0</v>
      </c>
      <c r="W83" s="284">
        <f>'Initial unit rates'!W211</f>
        <v>0</v>
      </c>
      <c r="X83" s="284">
        <f>'Initial unit rates'!X211</f>
        <v>0</v>
      </c>
      <c r="Y83" s="284">
        <f>'Initial unit rates'!Y211</f>
        <v>0</v>
      </c>
      <c r="Z83" s="269"/>
      <c r="AA83" s="269"/>
    </row>
    <row r="84" spans="4:27" x14ac:dyDescent="0.25">
      <c r="D84"/>
      <c r="F84" t="s">
        <v>192</v>
      </c>
      <c r="G84" t="s">
        <v>269</v>
      </c>
      <c r="H84" s="269"/>
      <c r="I84" s="269"/>
      <c r="J84" s="284">
        <f>'Initial unit rates'!J212</f>
        <v>3.7483059872422146E-3</v>
      </c>
      <c r="K84" s="284">
        <f>'Initial unit rates'!K212</f>
        <v>3.7483059872422146E-3</v>
      </c>
      <c r="L84" s="284">
        <f>'Initial unit rates'!L212</f>
        <v>3.2469086188334304E-3</v>
      </c>
      <c r="M84" s="284">
        <f>'Initial unit rates'!M212</f>
        <v>3.2469086188334304E-3</v>
      </c>
      <c r="N84" s="284">
        <f>'Initial unit rates'!N212</f>
        <v>2.7601761553389748E-3</v>
      </c>
      <c r="O84" s="284">
        <f>'Initial unit rates'!O212</f>
        <v>2.4663306728866341E-3</v>
      </c>
      <c r="P84" s="284">
        <f>'Initial unit rates'!P212</f>
        <v>2.2231017015051356E-3</v>
      </c>
      <c r="Q84" s="284">
        <f>'Initial unit rates'!Q212</f>
        <v>2.876559560470488E-3</v>
      </c>
      <c r="R84" s="284">
        <f>'Initial unit rates'!R212</f>
        <v>-2.2635756883083494E-3</v>
      </c>
      <c r="S84" s="284">
        <f>'Initial unit rates'!S212</f>
        <v>-2.198482138830094E-3</v>
      </c>
      <c r="T84" s="284">
        <f>'Initial unit rates'!T212</f>
        <v>-2.2635756883083494E-3</v>
      </c>
      <c r="U84" s="284">
        <f>'Initial unit rates'!U212</f>
        <v>-2.2635756883083494E-3</v>
      </c>
      <c r="V84" s="284">
        <f>'Initial unit rates'!V212</f>
        <v>-2.198482138830094E-3</v>
      </c>
      <c r="W84" s="284">
        <f>'Initial unit rates'!W212</f>
        <v>-2.198482138830094E-3</v>
      </c>
      <c r="X84" s="284">
        <f>'Initial unit rates'!X212</f>
        <v>-2.1753844277249074E-3</v>
      </c>
      <c r="Y84" s="284">
        <f>'Initial unit rates'!Y212</f>
        <v>-2.1753844277249074E-3</v>
      </c>
      <c r="Z84" s="269"/>
      <c r="AA84" s="269"/>
    </row>
    <row r="85" spans="4:27" x14ac:dyDescent="0.25">
      <c r="D85"/>
      <c r="F85" t="s">
        <v>193</v>
      </c>
      <c r="G85" t="s">
        <v>269</v>
      </c>
      <c r="H85" s="269"/>
      <c r="I85" s="269"/>
      <c r="J85" s="284">
        <f>'Initial unit rates'!J213</f>
        <v>1.9584549030084971E-3</v>
      </c>
      <c r="K85" s="284">
        <f>'Initial unit rates'!K213</f>
        <v>1.9584549030084971E-3</v>
      </c>
      <c r="L85" s="284">
        <f>'Initial unit rates'!L213</f>
        <v>1.6964794565380199E-3</v>
      </c>
      <c r="M85" s="284">
        <f>'Initial unit rates'!M213</f>
        <v>1.6964794565380199E-3</v>
      </c>
      <c r="N85" s="284">
        <f>'Initial unit rates'!N213</f>
        <v>1.442166286047512E-3</v>
      </c>
      <c r="O85" s="284">
        <f>'Initial unit rates'!O213</f>
        <v>1.2886347633291409E-3</v>
      </c>
      <c r="P85" s="284">
        <f>'Initial unit rates'!P213</f>
        <v>1.1615498953442083E-3</v>
      </c>
      <c r="Q85" s="284">
        <f>'Initial unit rates'!Q213</f>
        <v>1.5029755292588259E-3</v>
      </c>
      <c r="R85" s="284">
        <f>'Initial unit rates'!R213</f>
        <v>-1.1826971757873867E-3</v>
      </c>
      <c r="S85" s="284">
        <f>'Initial unit rates'!S213</f>
        <v>-1.1486864035708661E-3</v>
      </c>
      <c r="T85" s="284">
        <f>'Initial unit rates'!T213</f>
        <v>-1.1826971757873867E-3</v>
      </c>
      <c r="U85" s="284">
        <f>'Initial unit rates'!U213</f>
        <v>-1.1826971757873867E-3</v>
      </c>
      <c r="V85" s="284">
        <f>'Initial unit rates'!V213</f>
        <v>-1.1486864035708661E-3</v>
      </c>
      <c r="W85" s="284">
        <f>'Initial unit rates'!W213</f>
        <v>-1.1486864035708661E-3</v>
      </c>
      <c r="X85" s="284">
        <f>'Initial unit rates'!X213</f>
        <v>-1.1366180650424235E-3</v>
      </c>
      <c r="Y85" s="284">
        <f>'Initial unit rates'!Y213</f>
        <v>-1.1366180650424235E-3</v>
      </c>
      <c r="Z85" s="269"/>
      <c r="AA85" s="269"/>
    </row>
    <row r="86" spans="4:27" x14ac:dyDescent="0.25">
      <c r="D86"/>
      <c r="F86" t="s">
        <v>194</v>
      </c>
      <c r="G86" t="s">
        <v>269</v>
      </c>
      <c r="H86" s="269"/>
      <c r="I86" s="269"/>
      <c r="J86" s="284">
        <f>'Initial unit rates'!J214</f>
        <v>5.089342049326818E-3</v>
      </c>
      <c r="K86" s="284">
        <f>'Initial unit rates'!K214</f>
        <v>5.089342049326818E-3</v>
      </c>
      <c r="L86" s="284">
        <f>'Initial unit rates'!L214</f>
        <v>4.4085591252139211E-3</v>
      </c>
      <c r="M86" s="284">
        <f>'Initial unit rates'!M214</f>
        <v>4.4085591252139211E-3</v>
      </c>
      <c r="N86" s="284">
        <f>'Initial unit rates'!N214</f>
        <v>3.7476877871572044E-3</v>
      </c>
      <c r="O86" s="284">
        <f>'Initial unit rates'!O214</f>
        <v>3.3487128435588263E-3</v>
      </c>
      <c r="P86" s="284">
        <f>'Initial unit rates'!P214</f>
        <v>2.8209955081393702E-3</v>
      </c>
      <c r="Q86" s="284">
        <f>'Initial unit rates'!Q214</f>
        <v>3.905709826872121E-3</v>
      </c>
      <c r="R86" s="284">
        <f>'Initial unit rates'!R214</f>
        <v>-3.0734179577525376E-3</v>
      </c>
      <c r="S86" s="284">
        <f>'Initial unit rates'!S214</f>
        <v>-2.9850358086891526E-3</v>
      </c>
      <c r="T86" s="284">
        <f>'Initial unit rates'!T214</f>
        <v>-3.0734179577525376E-3</v>
      </c>
      <c r="U86" s="284">
        <f>'Initial unit rates'!U214</f>
        <v>-3.0734179577525376E-3</v>
      </c>
      <c r="V86" s="284">
        <f>'Initial unit rates'!V214</f>
        <v>-2.9850358086891526E-3</v>
      </c>
      <c r="W86" s="284">
        <f>'Initial unit rates'!W214</f>
        <v>-2.9850358086891526E-3</v>
      </c>
      <c r="X86" s="284">
        <f>'Initial unit rates'!X214</f>
        <v>-2.7604448752539994E-3</v>
      </c>
      <c r="Y86" s="284">
        <f>'Initial unit rates'!Y214</f>
        <v>-2.7604448752539994E-3</v>
      </c>
      <c r="Z86" s="269"/>
      <c r="AA86" s="269"/>
    </row>
    <row r="87" spans="4:27" x14ac:dyDescent="0.25">
      <c r="D87"/>
      <c r="F87" t="s">
        <v>195</v>
      </c>
      <c r="G87" t="s">
        <v>269</v>
      </c>
      <c r="H87" s="269"/>
      <c r="I87" s="269"/>
      <c r="J87" s="284">
        <f>'Initial unit rates'!J215</f>
        <v>8.1872977582028352E-3</v>
      </c>
      <c r="K87" s="284">
        <f>'Initial unit rates'!K215</f>
        <v>8.1872977582028352E-3</v>
      </c>
      <c r="L87" s="284">
        <f>'Initial unit rates'!L215</f>
        <v>7.0921124760209165E-3</v>
      </c>
      <c r="M87" s="284">
        <f>'Initial unit rates'!M215</f>
        <v>7.0921124760209165E-3</v>
      </c>
      <c r="N87" s="284">
        <f>'Initial unit rates'!N215</f>
        <v>6.0289592487293943E-3</v>
      </c>
      <c r="O87" s="284">
        <f>'Initial unit rates'!O215</f>
        <v>5.3871225182360732E-3</v>
      </c>
      <c r="P87" s="284">
        <f>'Initial unit rates'!P215</f>
        <v>3.1483865192726656E-3</v>
      </c>
      <c r="Q87" s="284">
        <f>'Initial unit rates'!Q215</f>
        <v>6.2831715769567148E-3</v>
      </c>
      <c r="R87" s="284">
        <f>'Initial unit rates'!R215</f>
        <v>-4.9442516756868548E-3</v>
      </c>
      <c r="S87" s="284">
        <f>'Initial unit rates'!S215</f>
        <v>-4.8020700412283257E-3</v>
      </c>
      <c r="T87" s="284">
        <f>'Initial unit rates'!T215</f>
        <v>-4.9442516756868548E-3</v>
      </c>
      <c r="U87" s="284">
        <f>'Initial unit rates'!U215</f>
        <v>-4.9442516756868548E-3</v>
      </c>
      <c r="V87" s="284">
        <f>'Initial unit rates'!V215</f>
        <v>-4.8020700412283257E-3</v>
      </c>
      <c r="W87" s="284">
        <f>'Initial unit rates'!W215</f>
        <v>-4.8020700412283257E-3</v>
      </c>
      <c r="X87" s="284">
        <f>'Initial unit rates'!X215</f>
        <v>-3.080808674586388E-3</v>
      </c>
      <c r="Y87" s="284">
        <f>'Initial unit rates'!Y215</f>
        <v>-3.080808674586388E-3</v>
      </c>
      <c r="Z87" s="269"/>
      <c r="AA87" s="269"/>
    </row>
    <row r="88" spans="4:27" x14ac:dyDescent="0.25">
      <c r="D88"/>
      <c r="F88" t="s">
        <v>196</v>
      </c>
      <c r="G88" t="s">
        <v>269</v>
      </c>
      <c r="H88" s="269"/>
      <c r="I88" s="269"/>
      <c r="J88" s="284">
        <f>'Initial unit rates'!J216</f>
        <v>3.2774487969919775E-4</v>
      </c>
      <c r="K88" s="284">
        <f>'Initial unit rates'!K216</f>
        <v>3.2774487969919775E-4</v>
      </c>
      <c r="L88" s="284">
        <f>'Initial unit rates'!L216</f>
        <v>2.8390362961183864E-4</v>
      </c>
      <c r="M88" s="284">
        <f>'Initial unit rates'!M216</f>
        <v>2.8390362961183864E-4</v>
      </c>
      <c r="N88" s="284">
        <f>'Initial unit rates'!N216</f>
        <v>2.4134465143966092E-4</v>
      </c>
      <c r="O88" s="284">
        <f>'Initial unit rates'!O216</f>
        <v>2.1565135088621491E-4</v>
      </c>
      <c r="P88" s="284">
        <f>'Initial unit rates'!P216</f>
        <v>1.2603273894268343E-4</v>
      </c>
      <c r="Q88" s="284">
        <f>'Initial unit rates'!Q216</f>
        <v>2.5152099916677772E-4</v>
      </c>
      <c r="R88" s="284">
        <f>'Initial unit rates'!R216</f>
        <v>-1.9792283345588797E-4</v>
      </c>
      <c r="S88" s="284">
        <f>'Initial unit rates'!S216</f>
        <v>-1.9223117497988373E-4</v>
      </c>
      <c r="T88" s="284">
        <f>'Initial unit rates'!T216</f>
        <v>-1.9792283345588797E-4</v>
      </c>
      <c r="U88" s="284">
        <f>'Initial unit rates'!U216</f>
        <v>-1.9792283345588797E-4</v>
      </c>
      <c r="V88" s="284">
        <f>'Initial unit rates'!V216</f>
        <v>-1.9223117497988373E-4</v>
      </c>
      <c r="W88" s="284">
        <f>'Initial unit rates'!W216</f>
        <v>-1.9223117497988373E-4</v>
      </c>
      <c r="X88" s="284">
        <f>'Initial unit rates'!X216</f>
        <v>-1.2332753714947337E-4</v>
      </c>
      <c r="Y88" s="284">
        <f>'Initial unit rates'!Y216</f>
        <v>-1.2332753714947337E-4</v>
      </c>
      <c r="Z88" s="269"/>
      <c r="AA88" s="269"/>
    </row>
    <row r="89" spans="4:27" x14ac:dyDescent="0.25">
      <c r="D89"/>
      <c r="F89" t="s">
        <v>197</v>
      </c>
      <c r="G89" t="s">
        <v>269</v>
      </c>
      <c r="H89" s="269"/>
      <c r="I89" s="269"/>
      <c r="J89" s="284">
        <f>'Initial unit rates'!J217</f>
        <v>9.8246524697545613E-3</v>
      </c>
      <c r="K89" s="284">
        <f>'Initial unit rates'!K217</f>
        <v>9.8246524697545613E-3</v>
      </c>
      <c r="L89" s="284">
        <f>'Initial unit rates'!L217</f>
        <v>8.5104441552166909E-3</v>
      </c>
      <c r="M89" s="284">
        <f>'Initial unit rates'!M217</f>
        <v>8.5104441552166909E-3</v>
      </c>
      <c r="N89" s="284">
        <f>'Initial unit rates'!N217</f>
        <v>7.2346738963700204E-3</v>
      </c>
      <c r="O89" s="284">
        <f>'Initial unit rates'!O217</f>
        <v>6.4644780386338583E-3</v>
      </c>
      <c r="P89" s="284">
        <f>'Initial unit rates'!P217</f>
        <v>4.0515063718566191E-3</v>
      </c>
      <c r="Q89" s="284">
        <f>'Initial unit rates'!Q217</f>
        <v>7.5397254349998848E-3</v>
      </c>
      <c r="R89" s="284">
        <f>'Initial unit rates'!R217</f>
        <v>-5.9330386986301119E-3</v>
      </c>
      <c r="S89" s="284">
        <f>'Initial unit rates'!S217</f>
        <v>-5.7624225579459426E-3</v>
      </c>
      <c r="T89" s="284">
        <f>'Initial unit rates'!T217</f>
        <v>-5.9330386986301119E-3</v>
      </c>
      <c r="U89" s="284">
        <f>'Initial unit rates'!U217</f>
        <v>-5.9330386986301119E-3</v>
      </c>
      <c r="V89" s="284">
        <f>'Initial unit rates'!V217</f>
        <v>-5.7624225579459426E-3</v>
      </c>
      <c r="W89" s="284">
        <f>'Initial unit rates'!W217</f>
        <v>-5.7624225579459426E-3</v>
      </c>
      <c r="X89" s="284">
        <f>'Initial unit rates'!X217</f>
        <v>0</v>
      </c>
      <c r="Y89" s="284">
        <f>'Initial unit rates'!Y217</f>
        <v>0</v>
      </c>
      <c r="Z89" s="269"/>
      <c r="AA89" s="269"/>
    </row>
    <row r="90" spans="4:27" x14ac:dyDescent="0.25">
      <c r="D90"/>
      <c r="F90" t="s">
        <v>198</v>
      </c>
      <c r="G90" t="s">
        <v>269</v>
      </c>
      <c r="H90" s="269"/>
      <c r="I90" s="269"/>
      <c r="J90" s="284">
        <f>'Initial unit rates'!J218</f>
        <v>2.5132043322888425E-3</v>
      </c>
      <c r="K90" s="284">
        <f>'Initial unit rates'!K218</f>
        <v>2.5132043322888425E-3</v>
      </c>
      <c r="L90" s="284">
        <f>'Initial unit rates'!L218</f>
        <v>2.1770220561427322E-3</v>
      </c>
      <c r="M90" s="284">
        <f>'Initial unit rates'!M218</f>
        <v>2.1770220561427322E-3</v>
      </c>
      <c r="N90" s="284">
        <f>'Initial unit rates'!N218</f>
        <v>1.8506724624640447E-3</v>
      </c>
      <c r="O90" s="284">
        <f>'Initial unit rates'!O218</f>
        <v>1.6536517971191466E-3</v>
      </c>
      <c r="P90" s="284">
        <f>'Initial unit rates'!P218</f>
        <v>0</v>
      </c>
      <c r="Q90" s="284">
        <f>'Initial unit rates'!Q218</f>
        <v>1.9287064540801477E-3</v>
      </c>
      <c r="R90" s="284">
        <f>'Initial unit rates'!R218</f>
        <v>-1.5177064641154739E-3</v>
      </c>
      <c r="S90" s="284">
        <f>'Initial unit rates'!S218</f>
        <v>0</v>
      </c>
      <c r="T90" s="284">
        <f>'Initial unit rates'!T218</f>
        <v>-1.5177064641154739E-3</v>
      </c>
      <c r="U90" s="284">
        <f>'Initial unit rates'!U218</f>
        <v>-1.5177064641154739E-3</v>
      </c>
      <c r="V90" s="284">
        <f>'Initial unit rates'!V218</f>
        <v>0</v>
      </c>
      <c r="W90" s="284">
        <f>'Initial unit rates'!W218</f>
        <v>0</v>
      </c>
      <c r="X90" s="284">
        <f>'Initial unit rates'!X218</f>
        <v>0</v>
      </c>
      <c r="Y90" s="284">
        <f>'Initial unit rates'!Y218</f>
        <v>0</v>
      </c>
      <c r="Z90" s="269"/>
      <c r="AA90" s="269"/>
    </row>
    <row r="91" spans="4:27" x14ac:dyDescent="0.25">
      <c r="D91"/>
      <c r="F91" t="s">
        <v>199</v>
      </c>
      <c r="G91" t="s">
        <v>269</v>
      </c>
      <c r="H91" s="269"/>
      <c r="I91" s="269"/>
      <c r="J91" s="284">
        <f>'Initial unit rates'!J219</f>
        <v>1.0547111606698707E-3</v>
      </c>
      <c r="K91" s="284">
        <f>'Initial unit rates'!K219</f>
        <v>1.0547111606698707E-3</v>
      </c>
      <c r="L91" s="284">
        <f>'Initial unit rates'!L219</f>
        <v>9.1362625399704872E-4</v>
      </c>
      <c r="M91" s="284">
        <f>'Initial unit rates'!M219</f>
        <v>9.1362625399704872E-4</v>
      </c>
      <c r="N91" s="284">
        <f>'Initial unit rates'!N219</f>
        <v>7.7666780843384535E-4</v>
      </c>
      <c r="O91" s="284">
        <f>'Initial unit rates'!O219</f>
        <v>0</v>
      </c>
      <c r="P91" s="284">
        <f>'Initial unit rates'!P219</f>
        <v>0</v>
      </c>
      <c r="Q91" s="284">
        <f>'Initial unit rates'!Q219</f>
        <v>8.0941616908710215E-4</v>
      </c>
      <c r="R91" s="284">
        <f>'Initial unit rates'!R219</f>
        <v>0</v>
      </c>
      <c r="S91" s="284">
        <f>'Initial unit rates'!S219</f>
        <v>0</v>
      </c>
      <c r="T91" s="284">
        <f>'Initial unit rates'!T219</f>
        <v>0</v>
      </c>
      <c r="U91" s="284">
        <f>'Initial unit rates'!U219</f>
        <v>0</v>
      </c>
      <c r="V91" s="284">
        <f>'Initial unit rates'!V219</f>
        <v>0</v>
      </c>
      <c r="W91" s="284">
        <f>'Initial unit rates'!W219</f>
        <v>0</v>
      </c>
      <c r="X91" s="284">
        <f>'Initial unit rates'!X219</f>
        <v>0</v>
      </c>
      <c r="Y91" s="284">
        <f>'Initial unit rates'!Y219</f>
        <v>0</v>
      </c>
      <c r="Z91" s="269"/>
      <c r="AA91" s="269"/>
    </row>
    <row r="92" spans="4:27" x14ac:dyDescent="0.25">
      <c r="D92"/>
      <c r="F92" s="23" t="s">
        <v>376</v>
      </c>
      <c r="G92" s="23" t="s">
        <v>269</v>
      </c>
      <c r="H92" s="267"/>
      <c r="I92" s="267"/>
      <c r="J92" s="285"/>
      <c r="K92" s="285"/>
      <c r="L92" s="285"/>
      <c r="M92" s="285"/>
      <c r="N92" s="285"/>
      <c r="O92" s="285"/>
      <c r="P92" s="285"/>
      <c r="Q92" s="285"/>
      <c r="R92" s="285"/>
      <c r="S92" s="285"/>
      <c r="T92" s="285"/>
      <c r="U92" s="285"/>
      <c r="V92" s="285"/>
      <c r="W92" s="285"/>
      <c r="X92" s="285"/>
      <c r="Y92" s="285"/>
      <c r="Z92" s="269"/>
      <c r="AA92" s="269"/>
    </row>
    <row r="93" spans="4:27" x14ac:dyDescent="0.25">
      <c r="D93"/>
      <c r="F93" s="37" t="s">
        <v>377</v>
      </c>
      <c r="G93" s="37" t="s">
        <v>269</v>
      </c>
      <c r="H93" s="273"/>
      <c r="I93" s="273"/>
      <c r="J93" s="274"/>
      <c r="K93" s="274"/>
      <c r="L93" s="274"/>
      <c r="M93" s="274"/>
      <c r="N93" s="274"/>
      <c r="O93" s="274"/>
      <c r="P93" s="274"/>
      <c r="Q93" s="274"/>
      <c r="R93" s="274"/>
      <c r="S93" s="274"/>
      <c r="T93" s="274"/>
      <c r="U93" s="274"/>
      <c r="V93" s="274"/>
      <c r="W93" s="274"/>
      <c r="X93" s="274"/>
      <c r="Y93" s="274"/>
      <c r="Z93" s="269"/>
      <c r="AA93" s="269"/>
    </row>
    <row r="94" spans="4:27" x14ac:dyDescent="0.25">
      <c r="D94"/>
      <c r="J94" s="89"/>
      <c r="K94" s="89"/>
      <c r="L94" s="89"/>
      <c r="M94" s="89"/>
      <c r="N94" s="89"/>
      <c r="O94" s="89"/>
      <c r="P94" s="89"/>
      <c r="Q94" s="89"/>
      <c r="R94" s="89"/>
      <c r="S94" s="89"/>
      <c r="T94" s="89"/>
      <c r="U94" s="89"/>
      <c r="V94" s="89"/>
      <c r="W94" s="89"/>
      <c r="X94" s="89"/>
      <c r="Y94" s="89"/>
    </row>
    <row r="95" spans="4:27" x14ac:dyDescent="0.25">
      <c r="D95"/>
      <c r="E95" s="32" t="s">
        <v>622</v>
      </c>
      <c r="J95" s="89"/>
      <c r="K95" s="89"/>
      <c r="L95" s="89"/>
      <c r="M95" s="89"/>
      <c r="N95" s="89"/>
      <c r="O95" s="89"/>
      <c r="P95" s="89"/>
      <c r="Q95" s="89"/>
      <c r="R95" s="89"/>
      <c r="S95" s="89"/>
      <c r="T95" s="89"/>
      <c r="U95" s="89"/>
      <c r="V95" s="89"/>
      <c r="W95" s="89"/>
      <c r="X95" s="89"/>
      <c r="Y95" s="89"/>
    </row>
    <row r="96" spans="4:27" x14ac:dyDescent="0.25">
      <c r="D96"/>
      <c r="F96" s="23" t="s">
        <v>189</v>
      </c>
      <c r="G96" s="23" t="s">
        <v>269</v>
      </c>
      <c r="H96" s="267"/>
      <c r="I96" s="267"/>
      <c r="J96" s="283">
        <f>'Initial unit rates'!J222</f>
        <v>0</v>
      </c>
      <c r="K96" s="283">
        <f>'Initial unit rates'!K222</f>
        <v>0</v>
      </c>
      <c r="L96" s="283">
        <f>'Initial unit rates'!L222</f>
        <v>0</v>
      </c>
      <c r="M96" s="283">
        <f>'Initial unit rates'!M222</f>
        <v>0</v>
      </c>
      <c r="N96" s="283">
        <f>'Initial unit rates'!N222</f>
        <v>0</v>
      </c>
      <c r="O96" s="283">
        <f>'Initial unit rates'!O222</f>
        <v>0</v>
      </c>
      <c r="P96" s="283">
        <f>'Initial unit rates'!P222</f>
        <v>0</v>
      </c>
      <c r="Q96" s="283">
        <f>'Initial unit rates'!Q222</f>
        <v>0</v>
      </c>
      <c r="R96" s="283">
        <f>'Initial unit rates'!R222</f>
        <v>0</v>
      </c>
      <c r="S96" s="283">
        <f>'Initial unit rates'!S222</f>
        <v>0</v>
      </c>
      <c r="T96" s="283">
        <f>'Initial unit rates'!T222</f>
        <v>0</v>
      </c>
      <c r="U96" s="283">
        <f>'Initial unit rates'!U222</f>
        <v>0</v>
      </c>
      <c r="V96" s="283">
        <f>'Initial unit rates'!V222</f>
        <v>0</v>
      </c>
      <c r="W96" s="283">
        <f>'Initial unit rates'!W222</f>
        <v>0</v>
      </c>
      <c r="X96" s="283">
        <f>'Initial unit rates'!X222</f>
        <v>0</v>
      </c>
      <c r="Y96" s="283">
        <f>'Initial unit rates'!Y222</f>
        <v>0</v>
      </c>
      <c r="Z96" s="269"/>
      <c r="AA96" s="269"/>
    </row>
    <row r="97" spans="3:42" x14ac:dyDescent="0.25">
      <c r="D97"/>
      <c r="F97" t="s">
        <v>191</v>
      </c>
      <c r="G97" t="s">
        <v>269</v>
      </c>
      <c r="H97" s="269"/>
      <c r="I97" s="269"/>
      <c r="J97" s="284">
        <f>'Initial unit rates'!J223</f>
        <v>0</v>
      </c>
      <c r="K97" s="284">
        <f>'Initial unit rates'!K223</f>
        <v>0</v>
      </c>
      <c r="L97" s="284">
        <f>'Initial unit rates'!L223</f>
        <v>0</v>
      </c>
      <c r="M97" s="284">
        <f>'Initial unit rates'!M223</f>
        <v>0</v>
      </c>
      <c r="N97" s="284">
        <f>'Initial unit rates'!N223</f>
        <v>0</v>
      </c>
      <c r="O97" s="284">
        <f>'Initial unit rates'!O223</f>
        <v>0</v>
      </c>
      <c r="P97" s="284">
        <f>'Initial unit rates'!P223</f>
        <v>0</v>
      </c>
      <c r="Q97" s="284">
        <f>'Initial unit rates'!Q223</f>
        <v>0</v>
      </c>
      <c r="R97" s="284">
        <f>'Initial unit rates'!R223</f>
        <v>0</v>
      </c>
      <c r="S97" s="284">
        <f>'Initial unit rates'!S223</f>
        <v>0</v>
      </c>
      <c r="T97" s="284">
        <f>'Initial unit rates'!T223</f>
        <v>0</v>
      </c>
      <c r="U97" s="284">
        <f>'Initial unit rates'!U223</f>
        <v>0</v>
      </c>
      <c r="V97" s="284">
        <f>'Initial unit rates'!V223</f>
        <v>0</v>
      </c>
      <c r="W97" s="284">
        <f>'Initial unit rates'!W223</f>
        <v>0</v>
      </c>
      <c r="X97" s="284">
        <f>'Initial unit rates'!X223</f>
        <v>0</v>
      </c>
      <c r="Y97" s="284">
        <f>'Initial unit rates'!Y223</f>
        <v>0</v>
      </c>
      <c r="Z97" s="269"/>
      <c r="AA97" s="269"/>
    </row>
    <row r="98" spans="3:42" x14ac:dyDescent="0.25">
      <c r="D98"/>
      <c r="F98" t="s">
        <v>192</v>
      </c>
      <c r="G98" t="s">
        <v>269</v>
      </c>
      <c r="H98" s="269"/>
      <c r="I98" s="269"/>
      <c r="J98" s="284">
        <f>'Initial unit rates'!J224</f>
        <v>2.3798041246988885E-3</v>
      </c>
      <c r="K98" s="284">
        <f>'Initial unit rates'!K224</f>
        <v>2.3798041246988885E-3</v>
      </c>
      <c r="L98" s="284">
        <f>'Initial unit rates'!L224</f>
        <v>2.0614663130277813E-3</v>
      </c>
      <c r="M98" s="284">
        <f>'Initial unit rates'!M224</f>
        <v>2.0614663130277813E-3</v>
      </c>
      <c r="N98" s="284">
        <f>'Initial unit rates'!N224</f>
        <v>1.7524392676927804E-3</v>
      </c>
      <c r="O98" s="284">
        <f>'Initial unit rates'!O224</f>
        <v>1.5658764060842711E-3</v>
      </c>
      <c r="P98" s="284">
        <f>'Initial unit rates'!P224</f>
        <v>1.4114500301933761E-3</v>
      </c>
      <c r="Q98" s="284">
        <f>'Initial unit rates'!Q224</f>
        <v>1.8263312360969541E-3</v>
      </c>
      <c r="R98" s="284">
        <f>'Initial unit rates'!R224</f>
        <v>-1.4371470146618624E-3</v>
      </c>
      <c r="S98" s="284">
        <f>'Initial unit rates'!S224</f>
        <v>-1.3958190392866139E-3</v>
      </c>
      <c r="T98" s="284">
        <f>'Initial unit rates'!T224</f>
        <v>-1.4371470146618624E-3</v>
      </c>
      <c r="U98" s="284">
        <f>'Initial unit rates'!U224</f>
        <v>-1.4371470146618624E-3</v>
      </c>
      <c r="V98" s="284">
        <f>'Initial unit rates'!V224</f>
        <v>-1.3958190392866139E-3</v>
      </c>
      <c r="W98" s="284">
        <f>'Initial unit rates'!W224</f>
        <v>-1.3958190392866139E-3</v>
      </c>
      <c r="X98" s="284">
        <f>'Initial unit rates'!X224</f>
        <v>-1.3811542738308808E-3</v>
      </c>
      <c r="Y98" s="284">
        <f>'Initial unit rates'!Y224</f>
        <v>-1.3811542738308808E-3</v>
      </c>
      <c r="Z98" s="269"/>
      <c r="AA98" s="269"/>
    </row>
    <row r="99" spans="3:42" x14ac:dyDescent="0.25">
      <c r="D99"/>
      <c r="F99" t="s">
        <v>193</v>
      </c>
      <c r="G99" t="s">
        <v>269</v>
      </c>
      <c r="H99" s="269"/>
      <c r="I99" s="269"/>
      <c r="J99" s="284">
        <f>'Initial unit rates'!J225</f>
        <v>1.2434254492775495E-3</v>
      </c>
      <c r="K99" s="284">
        <f>'Initial unit rates'!K225</f>
        <v>1.2434254492775495E-3</v>
      </c>
      <c r="L99" s="284">
        <f>'Initial unit rates'!L225</f>
        <v>1.0770969130795289E-3</v>
      </c>
      <c r="M99" s="284">
        <f>'Initial unit rates'!M225</f>
        <v>1.0770969130795289E-3</v>
      </c>
      <c r="N99" s="284">
        <f>'Initial unit rates'!N225</f>
        <v>9.1563316541365479E-4</v>
      </c>
      <c r="O99" s="284">
        <f>'Initial unit rates'!O225</f>
        <v>8.1815581103541709E-4</v>
      </c>
      <c r="P99" s="284">
        <f>'Initial unit rates'!P225</f>
        <v>7.3746947058009251E-4</v>
      </c>
      <c r="Q99" s="284">
        <f>'Initial unit rates'!Q225</f>
        <v>9.542410294211968E-4</v>
      </c>
      <c r="R99" s="284">
        <f>'Initial unit rates'!R225</f>
        <v>-7.508959051871208E-4</v>
      </c>
      <c r="S99" s="284">
        <f>'Initial unit rates'!S225</f>
        <v>-7.2930242368359508E-4</v>
      </c>
      <c r="T99" s="284">
        <f>'Initial unit rates'!T225</f>
        <v>-7.508959051871208E-4</v>
      </c>
      <c r="U99" s="284">
        <f>'Initial unit rates'!U225</f>
        <v>-7.508959051871208E-4</v>
      </c>
      <c r="V99" s="284">
        <f>'Initial unit rates'!V225</f>
        <v>-7.2930242368359508E-4</v>
      </c>
      <c r="W99" s="284">
        <f>'Initial unit rates'!W225</f>
        <v>-7.2930242368359508E-4</v>
      </c>
      <c r="X99" s="284">
        <f>'Initial unit rates'!X225</f>
        <v>-7.2164022056944071E-4</v>
      </c>
      <c r="Y99" s="284">
        <f>'Initial unit rates'!Y225</f>
        <v>-7.2164022056944071E-4</v>
      </c>
      <c r="Z99" s="269"/>
      <c r="AA99" s="269"/>
    </row>
    <row r="100" spans="3:42" x14ac:dyDescent="0.25">
      <c r="D100"/>
      <c r="F100" t="s">
        <v>194</v>
      </c>
      <c r="G100" t="s">
        <v>269</v>
      </c>
      <c r="H100" s="269"/>
      <c r="I100" s="269"/>
      <c r="J100" s="284">
        <f>'Initial unit rates'!J226</f>
        <v>3.2312295853686398E-3</v>
      </c>
      <c r="K100" s="284">
        <f>'Initial unit rates'!K226</f>
        <v>3.2312295853686398E-3</v>
      </c>
      <c r="L100" s="284">
        <f>'Initial unit rates'!L226</f>
        <v>2.7989996616797149E-3</v>
      </c>
      <c r="M100" s="284">
        <f>'Initial unit rates'!M226</f>
        <v>2.7989996616797149E-3</v>
      </c>
      <c r="N100" s="284">
        <f>'Initial unit rates'!N226</f>
        <v>2.3794116286974393E-3</v>
      </c>
      <c r="O100" s="284">
        <f>'Initial unit rates'!O226</f>
        <v>2.1261019416925378E-3</v>
      </c>
      <c r="P100" s="284">
        <f>'Initial unit rates'!P226</f>
        <v>1.9164262505878948E-3</v>
      </c>
      <c r="Q100" s="284">
        <f>'Initial unit rates'!Q226</f>
        <v>2.4797400178916138E-3</v>
      </c>
      <c r="R100" s="284">
        <f>'Initial unit rates'!R226</f>
        <v>-1.9513168769245634E-3</v>
      </c>
      <c r="S100" s="284">
        <f>'Initial unit rates'!S226</f>
        <v>-1.8952029407606843E-3</v>
      </c>
      <c r="T100" s="284">
        <f>'Initial unit rates'!T226</f>
        <v>-1.9513168769245634E-3</v>
      </c>
      <c r="U100" s="284">
        <f>'Initial unit rates'!U226</f>
        <v>-1.9513168769245634E-3</v>
      </c>
      <c r="V100" s="284">
        <f>'Initial unit rates'!V226</f>
        <v>-1.8952029407606843E-3</v>
      </c>
      <c r="W100" s="284">
        <f>'Initial unit rates'!W226</f>
        <v>-1.8952029407606843E-3</v>
      </c>
      <c r="X100" s="284">
        <f>'Initial unit rates'!X226</f>
        <v>-1.8752915440573724E-3</v>
      </c>
      <c r="Y100" s="284">
        <f>'Initial unit rates'!Y226</f>
        <v>-1.8752915440573724E-3</v>
      </c>
      <c r="Z100" s="269"/>
      <c r="AA100" s="269"/>
    </row>
    <row r="101" spans="3:42" x14ac:dyDescent="0.25">
      <c r="D101"/>
      <c r="F101" t="s">
        <v>195</v>
      </c>
      <c r="G101" t="s">
        <v>269</v>
      </c>
      <c r="H101" s="269"/>
      <c r="I101" s="269"/>
      <c r="J101" s="284">
        <f>'Initial unit rates'!J227</f>
        <v>5.1981255109443143E-3</v>
      </c>
      <c r="K101" s="284">
        <f>'Initial unit rates'!K227</f>
        <v>5.1981255109443143E-3</v>
      </c>
      <c r="L101" s="284">
        <f>'Initial unit rates'!L227</f>
        <v>4.5027910156504461E-3</v>
      </c>
      <c r="M101" s="284">
        <f>'Initial unit rates'!M227</f>
        <v>4.5027910156504461E-3</v>
      </c>
      <c r="N101" s="284">
        <f>'Initial unit rates'!N227</f>
        <v>3.8277937117732362E-3</v>
      </c>
      <c r="O101" s="284">
        <f>'Initial unit rates'!O227</f>
        <v>3.4202907747638007E-3</v>
      </c>
      <c r="P101" s="284">
        <f>'Initial unit rates'!P227</f>
        <v>3.082982474576404E-3</v>
      </c>
      <c r="Q101" s="284">
        <f>'Initial unit rates'!Q227</f>
        <v>3.9891934345610202E-3</v>
      </c>
      <c r="R101" s="284">
        <f>'Initial unit rates'!R227</f>
        <v>-3.1391115270196926E-3</v>
      </c>
      <c r="S101" s="284">
        <f>'Initial unit rates'!S227</f>
        <v>-3.0488402307881422E-3</v>
      </c>
      <c r="T101" s="284">
        <f>'Initial unit rates'!T227</f>
        <v>-3.1391115270196926E-3</v>
      </c>
      <c r="U101" s="284">
        <f>'Initial unit rates'!U227</f>
        <v>-3.1391115270196926E-3</v>
      </c>
      <c r="V101" s="284">
        <f>'Initial unit rates'!V227</f>
        <v>-3.0488402307881422E-3</v>
      </c>
      <c r="W101" s="284">
        <f>'Initial unit rates'!W227</f>
        <v>-3.0488402307881422E-3</v>
      </c>
      <c r="X101" s="284">
        <f>'Initial unit rates'!X227</f>
        <v>-3.0168084805124312E-3</v>
      </c>
      <c r="Y101" s="284">
        <f>'Initial unit rates'!Y227</f>
        <v>-3.0168084805124312E-3</v>
      </c>
      <c r="Z101" s="269"/>
      <c r="AA101" s="269"/>
    </row>
    <row r="102" spans="3:42" x14ac:dyDescent="0.25">
      <c r="D102"/>
      <c r="F102" t="s">
        <v>196</v>
      </c>
      <c r="G102" t="s">
        <v>269</v>
      </c>
      <c r="H102" s="269"/>
      <c r="I102" s="269"/>
      <c r="J102" s="284">
        <f>'Initial unit rates'!J228</f>
        <v>2.0808563100552704E-4</v>
      </c>
      <c r="K102" s="284">
        <f>'Initial unit rates'!K228</f>
        <v>2.0808563100552704E-4</v>
      </c>
      <c r="L102" s="284">
        <f>'Initial unit rates'!L228</f>
        <v>1.8025076689759029E-4</v>
      </c>
      <c r="M102" s="284">
        <f>'Initial unit rates'!M228</f>
        <v>1.8025076689759029E-4</v>
      </c>
      <c r="N102" s="284">
        <f>'Initial unit rates'!N228</f>
        <v>1.5323001882050074E-4</v>
      </c>
      <c r="O102" s="284">
        <f>'Initial unit rates'!O228</f>
        <v>1.3691731040172889E-4</v>
      </c>
      <c r="P102" s="284">
        <f>'Initial unit rates'!P228</f>
        <v>1.2341455631468005E-4</v>
      </c>
      <c r="Q102" s="284">
        <f>'Initial unit rates'!Q228</f>
        <v>1.5969099462604877E-4</v>
      </c>
      <c r="R102" s="284">
        <f>'Initial unit rates'!R228</f>
        <v>-1.2566145267584207E-4</v>
      </c>
      <c r="S102" s="284">
        <f>'Initial unit rates'!S228</f>
        <v>-1.2204781164341984E-4</v>
      </c>
      <c r="T102" s="284">
        <f>'Initial unit rates'!T228</f>
        <v>-1.2566145267584207E-4</v>
      </c>
      <c r="U102" s="284">
        <f>'Initial unit rates'!U228</f>
        <v>-1.2566145267584207E-4</v>
      </c>
      <c r="V102" s="284">
        <f>'Initial unit rates'!V228</f>
        <v>-1.2204781164341984E-4</v>
      </c>
      <c r="W102" s="284">
        <f>'Initial unit rates'!W228</f>
        <v>-1.2204781164341984E-4</v>
      </c>
      <c r="X102" s="284">
        <f>'Initial unit rates'!X228</f>
        <v>-1.207655519222378E-4</v>
      </c>
      <c r="Y102" s="284">
        <f>'Initial unit rates'!Y228</f>
        <v>-1.207655519222378E-4</v>
      </c>
      <c r="Z102" s="269"/>
      <c r="AA102" s="269"/>
    </row>
    <row r="103" spans="3:42" x14ac:dyDescent="0.25">
      <c r="D103"/>
      <c r="F103" t="s">
        <v>197</v>
      </c>
      <c r="G103" t="s">
        <v>269</v>
      </c>
      <c r="H103" s="269"/>
      <c r="I103" s="269"/>
      <c r="J103" s="284">
        <f>'Initial unit rates'!J229</f>
        <v>1.1975591206653358E-2</v>
      </c>
      <c r="K103" s="284">
        <f>'Initial unit rates'!K229</f>
        <v>1.1975591206653358E-2</v>
      </c>
      <c r="L103" s="284">
        <f>'Initial unit rates'!L229</f>
        <v>1.0373659577647489E-2</v>
      </c>
      <c r="M103" s="284">
        <f>'Initial unit rates'!M229</f>
        <v>1.0373659577647489E-2</v>
      </c>
      <c r="N103" s="284">
        <f>'Initial unit rates'!N229</f>
        <v>8.818581355737036E-3</v>
      </c>
      <c r="O103" s="284">
        <f>'Initial unit rates'!O229</f>
        <v>7.8797643574054447E-3</v>
      </c>
      <c r="P103" s="284">
        <f>'Initial unit rates'!P229</f>
        <v>7.1026637842948985E-3</v>
      </c>
      <c r="Q103" s="284">
        <f>'Initial unit rates'!Q229</f>
        <v>9.1904186838092754E-3</v>
      </c>
      <c r="R103" s="284">
        <f>'Initial unit rates'!R229</f>
        <v>-7.2319755112746336E-3</v>
      </c>
      <c r="S103" s="284">
        <f>'Initial unit rates'!S229</f>
        <v>-7.024005900096976E-3</v>
      </c>
      <c r="T103" s="284">
        <f>'Initial unit rates'!T229</f>
        <v>-7.2319755112746336E-3</v>
      </c>
      <c r="U103" s="284">
        <f>'Initial unit rates'!U229</f>
        <v>-7.2319755112746336E-3</v>
      </c>
      <c r="V103" s="284">
        <f>'Initial unit rates'!V229</f>
        <v>-7.024005900096976E-3</v>
      </c>
      <c r="W103" s="284">
        <f>'Initial unit rates'!W229</f>
        <v>-7.024005900096976E-3</v>
      </c>
      <c r="X103" s="284">
        <f>'Initial unit rates'!X229</f>
        <v>0</v>
      </c>
      <c r="Y103" s="284">
        <f>'Initial unit rates'!Y229</f>
        <v>0</v>
      </c>
      <c r="Z103" s="269"/>
      <c r="AA103" s="269"/>
    </row>
    <row r="104" spans="3:42" x14ac:dyDescent="0.25">
      <c r="D104"/>
      <c r="F104" t="s">
        <v>198</v>
      </c>
      <c r="G104" t="s">
        <v>269</v>
      </c>
      <c r="H104" s="269"/>
      <c r="I104" s="269"/>
      <c r="J104" s="284">
        <f>'Initial unit rates'!J230</f>
        <v>5.4818525212999725E-3</v>
      </c>
      <c r="K104" s="284">
        <f>'Initial unit rates'!K230</f>
        <v>5.4818525212999725E-3</v>
      </c>
      <c r="L104" s="284">
        <f>'Initial unit rates'!L230</f>
        <v>4.7485648874888613E-3</v>
      </c>
      <c r="M104" s="284">
        <f>'Initial unit rates'!M230</f>
        <v>4.7485648874888613E-3</v>
      </c>
      <c r="N104" s="284">
        <f>'Initial unit rates'!N230</f>
        <v>4.0367245011150871E-3</v>
      </c>
      <c r="O104" s="284">
        <f>'Initial unit rates'!O230</f>
        <v>3.6069790095952991E-3</v>
      </c>
      <c r="P104" s="284">
        <f>'Initial unit rates'!P230</f>
        <v>0</v>
      </c>
      <c r="Q104" s="284">
        <f>'Initial unit rates'!Q230</f>
        <v>4.2069338343523307E-3</v>
      </c>
      <c r="R104" s="284">
        <f>'Initial unit rates'!R230</f>
        <v>-3.3104522779998443E-3</v>
      </c>
      <c r="S104" s="284">
        <f>'Initial unit rates'!S230</f>
        <v>0</v>
      </c>
      <c r="T104" s="284">
        <f>'Initial unit rates'!T230</f>
        <v>-3.3104522779998443E-3</v>
      </c>
      <c r="U104" s="284">
        <f>'Initial unit rates'!U230</f>
        <v>-3.3104522779998443E-3</v>
      </c>
      <c r="V104" s="284">
        <f>'Initial unit rates'!V230</f>
        <v>0</v>
      </c>
      <c r="W104" s="284">
        <f>'Initial unit rates'!W230</f>
        <v>0</v>
      </c>
      <c r="X104" s="284">
        <f>'Initial unit rates'!X230</f>
        <v>0</v>
      </c>
      <c r="Y104" s="284">
        <f>'Initial unit rates'!Y230</f>
        <v>0</v>
      </c>
      <c r="Z104" s="269"/>
      <c r="AA104" s="269"/>
    </row>
    <row r="105" spans="3:42" x14ac:dyDescent="0.25">
      <c r="D105"/>
      <c r="F105" t="s">
        <v>199</v>
      </c>
      <c r="G105" t="s">
        <v>269</v>
      </c>
      <c r="H105" s="269"/>
      <c r="I105" s="269"/>
      <c r="J105" s="284">
        <f>'Initial unit rates'!J231</f>
        <v>1.0926464578510648E-2</v>
      </c>
      <c r="K105" s="284">
        <f>'Initial unit rates'!K231</f>
        <v>1.0926464578510648E-2</v>
      </c>
      <c r="L105" s="284">
        <f>'Initial unit rates'!L231</f>
        <v>9.4648708334098639E-3</v>
      </c>
      <c r="M105" s="284">
        <f>'Initial unit rates'!M231</f>
        <v>9.4648708334098639E-3</v>
      </c>
      <c r="N105" s="284">
        <f>'Initial unit rates'!N231</f>
        <v>8.0460258832684636E-3</v>
      </c>
      <c r="O105" s="284">
        <f>'Initial unit rates'!O231</f>
        <v>0</v>
      </c>
      <c r="P105" s="284">
        <f>'Initial unit rates'!P231</f>
        <v>0</v>
      </c>
      <c r="Q105" s="284">
        <f>'Initial unit rates'!Q231</f>
        <v>8.3852882481938902E-3</v>
      </c>
      <c r="R105" s="284">
        <f>'Initial unit rates'!R231</f>
        <v>0</v>
      </c>
      <c r="S105" s="284">
        <f>'Initial unit rates'!S231</f>
        <v>0</v>
      </c>
      <c r="T105" s="284">
        <f>'Initial unit rates'!T231</f>
        <v>0</v>
      </c>
      <c r="U105" s="284">
        <f>'Initial unit rates'!U231</f>
        <v>0</v>
      </c>
      <c r="V105" s="284">
        <f>'Initial unit rates'!V231</f>
        <v>0</v>
      </c>
      <c r="W105" s="284">
        <f>'Initial unit rates'!W231</f>
        <v>0</v>
      </c>
      <c r="X105" s="284">
        <f>'Initial unit rates'!X231</f>
        <v>0</v>
      </c>
      <c r="Y105" s="284">
        <f>'Initial unit rates'!Y231</f>
        <v>0</v>
      </c>
      <c r="Z105" s="269"/>
      <c r="AA105" s="269"/>
    </row>
    <row r="106" spans="3:42" x14ac:dyDescent="0.25">
      <c r="D106"/>
      <c r="F106" s="23" t="s">
        <v>376</v>
      </c>
      <c r="G106" s="23" t="s">
        <v>269</v>
      </c>
      <c r="H106" s="267"/>
      <c r="I106" s="267" t="s">
        <v>154</v>
      </c>
      <c r="J106" s="285"/>
      <c r="K106" s="285"/>
      <c r="L106" s="285"/>
      <c r="M106" s="285"/>
      <c r="N106" s="285"/>
      <c r="O106" s="285"/>
      <c r="P106" s="285"/>
      <c r="Q106" s="283">
        <f>'Service model charges'!$Q$44</f>
        <v>0.79060175753563178</v>
      </c>
      <c r="R106" s="285"/>
      <c r="S106" s="285"/>
      <c r="T106" s="285"/>
      <c r="U106" s="285"/>
      <c r="V106" s="285"/>
      <c r="W106" s="285"/>
      <c r="X106" s="285"/>
      <c r="Y106" s="285"/>
      <c r="Z106" s="269"/>
      <c r="AA106" s="269" t="s">
        <v>654</v>
      </c>
    </row>
    <row r="107" spans="3:42" x14ac:dyDescent="0.25">
      <c r="D107"/>
      <c r="F107" s="37" t="s">
        <v>377</v>
      </c>
      <c r="G107" s="37" t="s">
        <v>269</v>
      </c>
      <c r="H107" s="273"/>
      <c r="I107" s="273"/>
      <c r="J107" s="274"/>
      <c r="K107" s="274"/>
      <c r="L107" s="274"/>
      <c r="M107" s="274"/>
      <c r="N107" s="274"/>
      <c r="O107" s="274"/>
      <c r="P107" s="274"/>
      <c r="Q107" s="274"/>
      <c r="R107" s="274"/>
      <c r="S107" s="274"/>
      <c r="T107" s="274"/>
      <c r="U107" s="274"/>
      <c r="V107" s="274"/>
      <c r="W107" s="274"/>
      <c r="X107" s="274"/>
      <c r="Y107" s="274"/>
      <c r="Z107" s="269"/>
      <c r="AA107" s="269"/>
    </row>
    <row r="109" spans="3:42" x14ac:dyDescent="0.25">
      <c r="C109" s="31" t="str">
        <f ca="1">INDEX('Version control'!$H$34:$H$57,MATCH($A$1,'Version control'!$F$34:$F$57,0),1)&amp;"-D: Standing charge factors"</f>
        <v>Section 111-D: Standing charge factors</v>
      </c>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row>
    <row r="110" spans="3:42" x14ac:dyDescent="0.25">
      <c r="D110" s="32"/>
      <c r="E110" s="32"/>
      <c r="J110" s="63"/>
      <c r="K110" s="63"/>
      <c r="L110" s="63"/>
      <c r="M110" s="63"/>
      <c r="N110" s="63"/>
      <c r="O110" s="63"/>
      <c r="P110" s="63"/>
      <c r="Q110" s="63"/>
      <c r="R110" s="63"/>
      <c r="S110" s="63"/>
      <c r="T110" s="63"/>
      <c r="U110" s="63"/>
      <c r="V110" s="63"/>
      <c r="W110" s="63"/>
      <c r="X110" s="63"/>
      <c r="Y110" s="63"/>
    </row>
    <row r="111" spans="3:42" x14ac:dyDescent="0.25">
      <c r="D111"/>
      <c r="E111" s="32" t="s">
        <v>120</v>
      </c>
      <c r="H111" s="14"/>
      <c r="I111" t="s">
        <v>154</v>
      </c>
      <c r="J111" s="63"/>
      <c r="L111" s="63"/>
      <c r="AA111" t="s">
        <v>203</v>
      </c>
      <c r="AP111" s="3"/>
    </row>
    <row r="112" spans="3:42" x14ac:dyDescent="0.25">
      <c r="C112" s="32"/>
      <c r="D112"/>
      <c r="E112"/>
      <c r="F112" s="23" t="s">
        <v>191</v>
      </c>
      <c r="G112" s="23" t="s">
        <v>167</v>
      </c>
      <c r="H112" s="129"/>
      <c r="I112" s="23"/>
      <c r="J112" s="107">
        <f>'Standing charge factors'!J44</f>
        <v>0</v>
      </c>
      <c r="K112" s="107">
        <f>'Standing charge factors'!K44</f>
        <v>0</v>
      </c>
      <c r="L112" s="107">
        <f>'Standing charge factors'!L44</f>
        <v>0</v>
      </c>
      <c r="M112" s="107">
        <f>'Standing charge factors'!M44</f>
        <v>0</v>
      </c>
      <c r="N112" s="107">
        <f>'Standing charge factors'!N44</f>
        <v>0</v>
      </c>
      <c r="O112" s="107">
        <f>'Standing charge factors'!O44</f>
        <v>0</v>
      </c>
      <c r="P112" s="107">
        <f>'Standing charge factors'!P44</f>
        <v>0</v>
      </c>
      <c r="Q112" s="107">
        <f>'Standing charge factors'!Q44</f>
        <v>0</v>
      </c>
      <c r="R112" s="107">
        <f>'Standing charge factors'!R44</f>
        <v>0</v>
      </c>
      <c r="S112" s="107">
        <f>'Standing charge factors'!S44</f>
        <v>0</v>
      </c>
      <c r="T112" s="107">
        <f>'Standing charge factors'!T44</f>
        <v>0</v>
      </c>
      <c r="U112" s="107">
        <f>'Standing charge factors'!U44</f>
        <v>0</v>
      </c>
      <c r="V112" s="107">
        <f>'Standing charge factors'!V44</f>
        <v>0</v>
      </c>
      <c r="W112" s="107">
        <f>'Standing charge factors'!W44</f>
        <v>0</v>
      </c>
      <c r="X112" s="107">
        <f>'Standing charge factors'!X44</f>
        <v>0</v>
      </c>
      <c r="Y112" s="107">
        <f>'Standing charge factors'!Y44</f>
        <v>0</v>
      </c>
      <c r="AP112" s="3"/>
    </row>
    <row r="113" spans="2:42" x14ac:dyDescent="0.25">
      <c r="C113" s="32"/>
      <c r="D113"/>
      <c r="E113"/>
      <c r="F113" t="s">
        <v>192</v>
      </c>
      <c r="G113" t="s">
        <v>167</v>
      </c>
      <c r="H113" s="63"/>
      <c r="J113" s="25">
        <f>'Standing charge factors'!J45</f>
        <v>0</v>
      </c>
      <c r="K113" s="25">
        <f>'Standing charge factors'!K45</f>
        <v>0</v>
      </c>
      <c r="L113" s="25">
        <f>'Standing charge factors'!L45</f>
        <v>0</v>
      </c>
      <c r="M113" s="25">
        <f>'Standing charge factors'!M45</f>
        <v>0</v>
      </c>
      <c r="N113" s="25">
        <f>'Standing charge factors'!N45</f>
        <v>0</v>
      </c>
      <c r="O113" s="25">
        <f>'Standing charge factors'!O45</f>
        <v>0</v>
      </c>
      <c r="P113" s="25">
        <f>'Standing charge factors'!P45</f>
        <v>1.5008868542263909E-2</v>
      </c>
      <c r="Q113" s="25">
        <f>'Standing charge factors'!Q45</f>
        <v>0</v>
      </c>
      <c r="R113" s="25">
        <f>'Standing charge factors'!R45</f>
        <v>0</v>
      </c>
      <c r="S113" s="25">
        <f>'Standing charge factors'!S45</f>
        <v>0</v>
      </c>
      <c r="T113" s="25">
        <f>'Standing charge factors'!T45</f>
        <v>0</v>
      </c>
      <c r="U113" s="25">
        <f>'Standing charge factors'!U45</f>
        <v>0</v>
      </c>
      <c r="V113" s="25">
        <f>'Standing charge factors'!V45</f>
        <v>0</v>
      </c>
      <c r="W113" s="25">
        <f>'Standing charge factors'!W45</f>
        <v>0</v>
      </c>
      <c r="X113" s="25">
        <f>'Standing charge factors'!X45</f>
        <v>0</v>
      </c>
      <c r="Y113" s="25">
        <f>'Standing charge factors'!Y45</f>
        <v>0</v>
      </c>
      <c r="AP113" s="3"/>
    </row>
    <row r="114" spans="2:42" x14ac:dyDescent="0.25">
      <c r="C114" s="32"/>
      <c r="D114"/>
      <c r="E114"/>
      <c r="F114" t="s">
        <v>193</v>
      </c>
      <c r="G114" t="s">
        <v>167</v>
      </c>
      <c r="H114" s="63"/>
      <c r="J114" s="25">
        <f>'Standing charge factors'!J46</f>
        <v>0</v>
      </c>
      <c r="K114" s="25">
        <f>'Standing charge factors'!K46</f>
        <v>0</v>
      </c>
      <c r="L114" s="25">
        <f>'Standing charge factors'!L46</f>
        <v>0</v>
      </c>
      <c r="M114" s="25">
        <f>'Standing charge factors'!M46</f>
        <v>0</v>
      </c>
      <c r="N114" s="25">
        <f>'Standing charge factors'!N46</f>
        <v>0</v>
      </c>
      <c r="O114" s="25">
        <f>'Standing charge factors'!O46</f>
        <v>0</v>
      </c>
      <c r="P114" s="25">
        <f>'Standing charge factors'!P46</f>
        <v>0</v>
      </c>
      <c r="Q114" s="25">
        <f>'Standing charge factors'!Q46</f>
        <v>0</v>
      </c>
      <c r="R114" s="25">
        <f>'Standing charge factors'!R46</f>
        <v>0</v>
      </c>
      <c r="S114" s="25">
        <f>'Standing charge factors'!S46</f>
        <v>0</v>
      </c>
      <c r="T114" s="25">
        <f>'Standing charge factors'!T46</f>
        <v>0</v>
      </c>
      <c r="U114" s="25">
        <f>'Standing charge factors'!U46</f>
        <v>0</v>
      </c>
      <c r="V114" s="25">
        <f>'Standing charge factors'!V46</f>
        <v>0</v>
      </c>
      <c r="W114" s="25">
        <f>'Standing charge factors'!W46</f>
        <v>0</v>
      </c>
      <c r="X114" s="25">
        <f>'Standing charge factors'!X46</f>
        <v>0</v>
      </c>
      <c r="Y114" s="25">
        <f>'Standing charge factors'!Y46</f>
        <v>0</v>
      </c>
      <c r="AP114" s="3"/>
    </row>
    <row r="115" spans="2:42" x14ac:dyDescent="0.25">
      <c r="C115" s="32"/>
      <c r="D115"/>
      <c r="E115"/>
      <c r="F115" t="s">
        <v>194</v>
      </c>
      <c r="G115" t="s">
        <v>167</v>
      </c>
      <c r="H115" s="63"/>
      <c r="J115" s="25">
        <f>'Standing charge factors'!J47</f>
        <v>0</v>
      </c>
      <c r="K115" s="25">
        <f>'Standing charge factors'!K47</f>
        <v>0</v>
      </c>
      <c r="L115" s="25">
        <f>'Standing charge factors'!L47</f>
        <v>0</v>
      </c>
      <c r="M115" s="25">
        <f>'Standing charge factors'!M47</f>
        <v>0</v>
      </c>
      <c r="N115" s="25">
        <f>'Standing charge factors'!N47</f>
        <v>0</v>
      </c>
      <c r="O115" s="25">
        <f>'Standing charge factors'!O47</f>
        <v>0</v>
      </c>
      <c r="P115" s="25">
        <f>'Standing charge factors'!P47</f>
        <v>0.2</v>
      </c>
      <c r="Q115" s="25">
        <f>'Standing charge factors'!Q47</f>
        <v>0</v>
      </c>
      <c r="R115" s="25">
        <f>'Standing charge factors'!R47</f>
        <v>0</v>
      </c>
      <c r="S115" s="25">
        <f>'Standing charge factors'!S47</f>
        <v>0</v>
      </c>
      <c r="T115" s="25">
        <f>'Standing charge factors'!T47</f>
        <v>0</v>
      </c>
      <c r="U115" s="25">
        <f>'Standing charge factors'!U47</f>
        <v>0</v>
      </c>
      <c r="V115" s="25">
        <f>'Standing charge factors'!V47</f>
        <v>0</v>
      </c>
      <c r="W115" s="25">
        <f>'Standing charge factors'!W47</f>
        <v>0</v>
      </c>
      <c r="X115" s="25">
        <f>'Standing charge factors'!X47</f>
        <v>0</v>
      </c>
      <c r="Y115" s="25">
        <f>'Standing charge factors'!Y47</f>
        <v>0</v>
      </c>
      <c r="AP115" s="3"/>
    </row>
    <row r="116" spans="2:42" x14ac:dyDescent="0.25">
      <c r="C116" s="32"/>
      <c r="D116"/>
      <c r="E116"/>
      <c r="F116" t="s">
        <v>195</v>
      </c>
      <c r="G116" t="s">
        <v>167</v>
      </c>
      <c r="H116" s="63"/>
      <c r="J116" s="25">
        <f>'Standing charge factors'!J48</f>
        <v>0</v>
      </c>
      <c r="K116" s="25">
        <f>'Standing charge factors'!K48</f>
        <v>0</v>
      </c>
      <c r="L116" s="25">
        <f>'Standing charge factors'!L48</f>
        <v>0</v>
      </c>
      <c r="M116" s="25">
        <f>'Standing charge factors'!M48</f>
        <v>0</v>
      </c>
      <c r="N116" s="25">
        <f>'Standing charge factors'!N48</f>
        <v>0</v>
      </c>
      <c r="O116" s="25">
        <f>'Standing charge factors'!O48</f>
        <v>0</v>
      </c>
      <c r="P116" s="25">
        <f>'Standing charge factors'!P48</f>
        <v>1</v>
      </c>
      <c r="Q116" s="25">
        <f>'Standing charge factors'!Q48</f>
        <v>0</v>
      </c>
      <c r="R116" s="25">
        <f>'Standing charge factors'!R48</f>
        <v>0</v>
      </c>
      <c r="S116" s="25">
        <f>'Standing charge factors'!S48</f>
        <v>0</v>
      </c>
      <c r="T116" s="25">
        <f>'Standing charge factors'!T48</f>
        <v>0</v>
      </c>
      <c r="U116" s="25">
        <f>'Standing charge factors'!U48</f>
        <v>0</v>
      </c>
      <c r="V116" s="25">
        <f>'Standing charge factors'!V48</f>
        <v>0</v>
      </c>
      <c r="W116" s="25">
        <f>'Standing charge factors'!W48</f>
        <v>0</v>
      </c>
      <c r="X116" s="25">
        <f>'Standing charge factors'!X48</f>
        <v>0</v>
      </c>
      <c r="Y116" s="25">
        <f>'Standing charge factors'!Y48</f>
        <v>0</v>
      </c>
      <c r="AP116" s="3"/>
    </row>
    <row r="117" spans="2:42" x14ac:dyDescent="0.25">
      <c r="C117" s="32"/>
      <c r="D117"/>
      <c r="E117"/>
      <c r="F117" t="s">
        <v>196</v>
      </c>
      <c r="G117" t="s">
        <v>167</v>
      </c>
      <c r="H117" s="63"/>
      <c r="J117" s="25">
        <f>'Standing charge factors'!J49</f>
        <v>0</v>
      </c>
      <c r="K117" s="25">
        <f>'Standing charge factors'!K49</f>
        <v>0</v>
      </c>
      <c r="L117" s="25">
        <f>'Standing charge factors'!L49</f>
        <v>0</v>
      </c>
      <c r="M117" s="25">
        <f>'Standing charge factors'!M49</f>
        <v>0</v>
      </c>
      <c r="N117" s="25">
        <f>'Standing charge factors'!N49</f>
        <v>0</v>
      </c>
      <c r="O117" s="25">
        <f>'Standing charge factors'!O49</f>
        <v>0</v>
      </c>
      <c r="P117" s="25">
        <f>'Standing charge factors'!P49</f>
        <v>1</v>
      </c>
      <c r="Q117" s="25">
        <f>'Standing charge factors'!Q49</f>
        <v>0</v>
      </c>
      <c r="R117" s="25">
        <f>'Standing charge factors'!R49</f>
        <v>0</v>
      </c>
      <c r="S117" s="25">
        <f>'Standing charge factors'!S49</f>
        <v>0</v>
      </c>
      <c r="T117" s="25">
        <f>'Standing charge factors'!T49</f>
        <v>0</v>
      </c>
      <c r="U117" s="25">
        <f>'Standing charge factors'!U49</f>
        <v>0</v>
      </c>
      <c r="V117" s="25">
        <f>'Standing charge factors'!V49</f>
        <v>0</v>
      </c>
      <c r="W117" s="25">
        <f>'Standing charge factors'!W49</f>
        <v>0</v>
      </c>
      <c r="X117" s="25">
        <f>'Standing charge factors'!X49</f>
        <v>0</v>
      </c>
      <c r="Y117" s="25">
        <f>'Standing charge factors'!Y49</f>
        <v>0</v>
      </c>
      <c r="AP117" s="3"/>
    </row>
    <row r="118" spans="2:42" x14ac:dyDescent="0.25">
      <c r="C118" s="32"/>
      <c r="D118"/>
      <c r="E118"/>
      <c r="F118" t="s">
        <v>197</v>
      </c>
      <c r="G118" t="s">
        <v>167</v>
      </c>
      <c r="H118" s="63"/>
      <c r="J118" s="25">
        <f>'Standing charge factors'!J50</f>
        <v>0</v>
      </c>
      <c r="K118" s="25">
        <f>'Standing charge factors'!K50</f>
        <v>0</v>
      </c>
      <c r="L118" s="25">
        <f>'Standing charge factors'!L50</f>
        <v>0</v>
      </c>
      <c r="M118" s="25">
        <f>'Standing charge factors'!M50</f>
        <v>0</v>
      </c>
      <c r="N118" s="25">
        <f>'Standing charge factors'!N50</f>
        <v>0.2</v>
      </c>
      <c r="O118" s="25">
        <f>'Standing charge factors'!O50</f>
        <v>1</v>
      </c>
      <c r="P118" s="25">
        <f>'Standing charge factors'!P50</f>
        <v>1</v>
      </c>
      <c r="Q118" s="25">
        <f>'Standing charge factors'!Q50</f>
        <v>0</v>
      </c>
      <c r="R118" s="25">
        <f>'Standing charge factors'!R50</f>
        <v>0</v>
      </c>
      <c r="S118" s="25">
        <f>'Standing charge factors'!S50</f>
        <v>0</v>
      </c>
      <c r="T118" s="25">
        <f>'Standing charge factors'!T50</f>
        <v>0</v>
      </c>
      <c r="U118" s="25">
        <f>'Standing charge factors'!U50</f>
        <v>0</v>
      </c>
      <c r="V118" s="25">
        <f>'Standing charge factors'!V50</f>
        <v>0</v>
      </c>
      <c r="W118" s="25">
        <f>'Standing charge factors'!W50</f>
        <v>0</v>
      </c>
      <c r="X118" s="25">
        <f>'Standing charge factors'!X50</f>
        <v>0</v>
      </c>
      <c r="Y118" s="25">
        <f>'Standing charge factors'!Y50</f>
        <v>0</v>
      </c>
      <c r="AP118" s="3"/>
    </row>
    <row r="119" spans="2:42" x14ac:dyDescent="0.25">
      <c r="C119" s="32"/>
      <c r="D119"/>
      <c r="E119"/>
      <c r="F119" t="s">
        <v>198</v>
      </c>
      <c r="G119" t="s">
        <v>167</v>
      </c>
      <c r="H119" s="63"/>
      <c r="J119" s="25">
        <f>'Standing charge factors'!J51</f>
        <v>0</v>
      </c>
      <c r="K119" s="25">
        <f>'Standing charge factors'!K51</f>
        <v>0</v>
      </c>
      <c r="L119" s="25">
        <f>'Standing charge factors'!L51</f>
        <v>0</v>
      </c>
      <c r="M119" s="25">
        <f>'Standing charge factors'!M51</f>
        <v>0</v>
      </c>
      <c r="N119" s="25">
        <f>'Standing charge factors'!N51</f>
        <v>1</v>
      </c>
      <c r="O119" s="25">
        <f>'Standing charge factors'!O51</f>
        <v>1</v>
      </c>
      <c r="P119" s="25">
        <f>'Standing charge factors'!P51</f>
        <v>0</v>
      </c>
      <c r="Q119" s="25">
        <f>'Standing charge factors'!Q51</f>
        <v>0</v>
      </c>
      <c r="R119" s="25">
        <f>'Standing charge factors'!R51</f>
        <v>0</v>
      </c>
      <c r="S119" s="25">
        <f>'Standing charge factors'!S51</f>
        <v>0</v>
      </c>
      <c r="T119" s="25">
        <f>'Standing charge factors'!T51</f>
        <v>0</v>
      </c>
      <c r="U119" s="25">
        <f>'Standing charge factors'!U51</f>
        <v>0</v>
      </c>
      <c r="V119" s="25">
        <f>'Standing charge factors'!V51</f>
        <v>0</v>
      </c>
      <c r="W119" s="25">
        <f>'Standing charge factors'!W51</f>
        <v>0</v>
      </c>
      <c r="X119" s="25">
        <f>'Standing charge factors'!X51</f>
        <v>0</v>
      </c>
      <c r="Y119" s="25">
        <f>'Standing charge factors'!Y51</f>
        <v>0</v>
      </c>
      <c r="AP119" s="3"/>
    </row>
    <row r="120" spans="2:42" x14ac:dyDescent="0.25">
      <c r="C120" s="32"/>
      <c r="D120"/>
      <c r="E120"/>
      <c r="F120" s="37" t="s">
        <v>199</v>
      </c>
      <c r="G120" s="37" t="s">
        <v>167</v>
      </c>
      <c r="H120" s="130"/>
      <c r="I120" s="37"/>
      <c r="J120" s="141">
        <f>'Standing charge factors'!J52</f>
        <v>1</v>
      </c>
      <c r="K120" s="141">
        <f>'Standing charge factors'!K52</f>
        <v>1</v>
      </c>
      <c r="L120" s="141">
        <f>'Standing charge factors'!L52</f>
        <v>1</v>
      </c>
      <c r="M120" s="141">
        <f>'Standing charge factors'!M52</f>
        <v>1</v>
      </c>
      <c r="N120" s="141">
        <f>'Standing charge factors'!N52</f>
        <v>1</v>
      </c>
      <c r="O120" s="141">
        <f>'Standing charge factors'!O52</f>
        <v>0</v>
      </c>
      <c r="P120" s="141">
        <f>'Standing charge factors'!P52</f>
        <v>0</v>
      </c>
      <c r="Q120" s="141">
        <f>'Standing charge factors'!Q52</f>
        <v>0</v>
      </c>
      <c r="R120" s="141">
        <f>'Standing charge factors'!R52</f>
        <v>0</v>
      </c>
      <c r="S120" s="141">
        <f>'Standing charge factors'!S52</f>
        <v>0</v>
      </c>
      <c r="T120" s="141">
        <f>'Standing charge factors'!T52</f>
        <v>0</v>
      </c>
      <c r="U120" s="141">
        <f>'Standing charge factors'!U52</f>
        <v>0</v>
      </c>
      <c r="V120" s="141">
        <f>'Standing charge factors'!V52</f>
        <v>0</v>
      </c>
      <c r="W120" s="141">
        <f>'Standing charge factors'!W52</f>
        <v>0</v>
      </c>
      <c r="X120" s="141">
        <f>'Standing charge factors'!X52</f>
        <v>0</v>
      </c>
      <c r="Y120" s="141">
        <f>'Standing charge factors'!Y52</f>
        <v>0</v>
      </c>
      <c r="AP120" s="3"/>
    </row>
    <row r="122" spans="2:42" x14ac:dyDescent="0.25">
      <c r="B122" s="30" t="s">
        <v>655</v>
      </c>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row>
    <row r="124" spans="2:42" x14ac:dyDescent="0.25">
      <c r="C124" s="31" t="str">
        <f ca="1">INDEX('Version control'!$H$34:$H$57,MATCH($A$1,'Version control'!$F$34:$F$57,0),1)&amp;"-E: Contributions to unit rate 1 p/kWh by network level (taking account of standing charges)"</f>
        <v>Section 111-E: Contributions to unit rate 1 p/kWh by network level (taking account of standing charges)</v>
      </c>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row>
    <row r="125" spans="2:42" x14ac:dyDescent="0.25">
      <c r="C125" s="32"/>
      <c r="D125"/>
      <c r="E125" s="32"/>
      <c r="I125" t="s">
        <v>154</v>
      </c>
      <c r="AA125" t="s">
        <v>656</v>
      </c>
    </row>
    <row r="126" spans="2:42" x14ac:dyDescent="0.25">
      <c r="E126" s="32" t="s">
        <v>621</v>
      </c>
    </row>
    <row r="127" spans="2:42" x14ac:dyDescent="0.25">
      <c r="F127" s="23" t="s">
        <v>189</v>
      </c>
      <c r="G127" s="23" t="s">
        <v>269</v>
      </c>
      <c r="H127" s="267"/>
      <c r="I127" s="267"/>
      <c r="J127" s="286">
        <f t="shared" ref="J127:K127" si="0">J22 * (1 - J$112)</f>
        <v>0</v>
      </c>
      <c r="K127" s="286">
        <f t="shared" si="0"/>
        <v>0</v>
      </c>
      <c r="L127" s="286">
        <f t="shared" ref="L127:M127" si="1">L22 * (1 - L$112)</f>
        <v>0</v>
      </c>
      <c r="M127" s="286">
        <f t="shared" si="1"/>
        <v>0</v>
      </c>
      <c r="N127" s="286">
        <f t="shared" ref="N127:P127" si="2">N22 * (1 - N$112)</f>
        <v>0</v>
      </c>
      <c r="O127" s="286">
        <f t="shared" si="2"/>
        <v>0</v>
      </c>
      <c r="P127" s="286">
        <f t="shared" si="2"/>
        <v>0</v>
      </c>
      <c r="Q127" s="286">
        <f t="shared" ref="Q127:S127" si="3">Q22 * (1 - Q$112)</f>
        <v>0</v>
      </c>
      <c r="R127" s="286">
        <f t="shared" si="3"/>
        <v>0</v>
      </c>
      <c r="S127" s="286">
        <f t="shared" si="3"/>
        <v>0</v>
      </c>
      <c r="T127" s="286">
        <f t="shared" ref="T127:U127" si="4">T22 * (1 - T$112)</f>
        <v>0</v>
      </c>
      <c r="U127" s="286">
        <f t="shared" si="4"/>
        <v>0</v>
      </c>
      <c r="V127" s="286">
        <f t="shared" ref="V127:W127" si="5">V22 * (1 - V$112)</f>
        <v>0</v>
      </c>
      <c r="W127" s="286">
        <f t="shared" si="5"/>
        <v>0</v>
      </c>
      <c r="X127" s="286">
        <f t="shared" ref="X127:Y127" si="6">X22 * (1 - X$112)</f>
        <v>0</v>
      </c>
      <c r="Y127" s="286">
        <f t="shared" si="6"/>
        <v>0</v>
      </c>
      <c r="Z127" s="269"/>
      <c r="AA127" s="269"/>
    </row>
    <row r="128" spans="2:42" x14ac:dyDescent="0.25">
      <c r="F128" t="s">
        <v>191</v>
      </c>
      <c r="G128" t="s">
        <v>269</v>
      </c>
      <c r="H128" s="269"/>
      <c r="I128" s="269"/>
      <c r="J128" s="287">
        <f t="shared" ref="J128:K128" si="7">J23 * (1 - J$112)</f>
        <v>0</v>
      </c>
      <c r="K128" s="287">
        <f t="shared" si="7"/>
        <v>0</v>
      </c>
      <c r="L128" s="287">
        <f t="shared" ref="L128:M128" si="8">L23 * (1 - L$112)</f>
        <v>0</v>
      </c>
      <c r="M128" s="287">
        <f t="shared" si="8"/>
        <v>0</v>
      </c>
      <c r="N128" s="287">
        <f t="shared" ref="N128:P128" si="9">N23 * (1 - N$112)</f>
        <v>0</v>
      </c>
      <c r="O128" s="287">
        <f t="shared" si="9"/>
        <v>0</v>
      </c>
      <c r="P128" s="287">
        <f t="shared" si="9"/>
        <v>0</v>
      </c>
      <c r="Q128" s="287">
        <f t="shared" ref="Q128:S128" si="10">Q23 * (1 - Q$112)</f>
        <v>0</v>
      </c>
      <c r="R128" s="287">
        <f t="shared" si="10"/>
        <v>0</v>
      </c>
      <c r="S128" s="287">
        <f t="shared" si="10"/>
        <v>0</v>
      </c>
      <c r="T128" s="287">
        <f t="shared" ref="T128:U128" si="11">T23 * (1 - T$112)</f>
        <v>0</v>
      </c>
      <c r="U128" s="287">
        <f t="shared" si="11"/>
        <v>0</v>
      </c>
      <c r="V128" s="287">
        <f t="shared" ref="V128:W128" si="12">V23 * (1 - V$112)</f>
        <v>0</v>
      </c>
      <c r="W128" s="287">
        <f t="shared" si="12"/>
        <v>0</v>
      </c>
      <c r="X128" s="287">
        <f t="shared" ref="X128:Y128" si="13">X23 * (1 - X$112)</f>
        <v>0</v>
      </c>
      <c r="Y128" s="287">
        <f t="shared" si="13"/>
        <v>0</v>
      </c>
      <c r="Z128" s="269"/>
      <c r="AA128" s="269"/>
    </row>
    <row r="129" spans="4:27" x14ac:dyDescent="0.25">
      <c r="F129" t="s">
        <v>192</v>
      </c>
      <c r="G129" t="s">
        <v>269</v>
      </c>
      <c r="H129" s="269"/>
      <c r="I129" s="269"/>
      <c r="J129" s="287">
        <f t="shared" ref="J129:K129" si="14">J24 * (1 - J$113)</f>
        <v>0.89398047279443305</v>
      </c>
      <c r="K129" s="287">
        <f t="shared" si="14"/>
        <v>0.89398047279443305</v>
      </c>
      <c r="L129" s="287">
        <f t="shared" ref="L129:M129" si="15">L24 * (1 - L$113)</f>
        <v>0.77439593033882681</v>
      </c>
      <c r="M129" s="287">
        <f t="shared" si="15"/>
        <v>0.77439593033882681</v>
      </c>
      <c r="N129" s="287">
        <f t="shared" ref="N129:P129" si="16">N24 * (1 - N$113)</f>
        <v>0.65830900485297139</v>
      </c>
      <c r="O129" s="287">
        <f t="shared" si="16"/>
        <v>0.58822611294784044</v>
      </c>
      <c r="P129" s="287">
        <f t="shared" si="16"/>
        <v>0.52225745410501612</v>
      </c>
      <c r="Q129" s="287">
        <f t="shared" ref="Q129:S129" si="17">Q24 * (1 - Q$113)</f>
        <v>1.9997866875583974</v>
      </c>
      <c r="R129" s="287">
        <f t="shared" si="17"/>
        <v>-0.53986853552709124</v>
      </c>
      <c r="S129" s="287">
        <f t="shared" si="17"/>
        <v>-0.52434355908800045</v>
      </c>
      <c r="T129" s="287">
        <f t="shared" ref="T129:U129" si="18">T24 * (1 - T$113)</f>
        <v>-0.53986853552709124</v>
      </c>
      <c r="U129" s="287">
        <f t="shared" si="18"/>
        <v>-0.53986853552709124</v>
      </c>
      <c r="V129" s="287">
        <f t="shared" ref="V129:W129" si="19">V24 * (1 - V$113)</f>
        <v>-0.52434355908800045</v>
      </c>
      <c r="W129" s="287">
        <f t="shared" si="19"/>
        <v>-0.52434355908800045</v>
      </c>
      <c r="X129" s="287">
        <f t="shared" ref="X129:Y129" si="20">X24 * (1 - X$113)</f>
        <v>-0.51883469648058123</v>
      </c>
      <c r="Y129" s="287">
        <f t="shared" si="20"/>
        <v>-0.51883469648058123</v>
      </c>
      <c r="Z129" s="269"/>
      <c r="AA129" s="269"/>
    </row>
    <row r="130" spans="4:27" x14ac:dyDescent="0.25">
      <c r="F130" t="s">
        <v>193</v>
      </c>
      <c r="G130" t="s">
        <v>269</v>
      </c>
      <c r="H130" s="269"/>
      <c r="I130" s="269"/>
      <c r="J130" s="287">
        <f t="shared" ref="J130:K130" si="21">J25 * (1 - J$114)</f>
        <v>0.46709645533134908</v>
      </c>
      <c r="K130" s="287">
        <f t="shared" si="21"/>
        <v>0.46709645533134908</v>
      </c>
      <c r="L130" s="287">
        <f t="shared" ref="L130:M130" si="22">L25 * (1 - L$114)</f>
        <v>0.40461464773790839</v>
      </c>
      <c r="M130" s="287">
        <f t="shared" si="22"/>
        <v>0.40461464773790839</v>
      </c>
      <c r="N130" s="287">
        <f t="shared" ref="N130:P130" si="23">N25 * (1 - N$114)</f>
        <v>0.34396031237500835</v>
      </c>
      <c r="O130" s="287">
        <f t="shared" si="23"/>
        <v>0.30734265529584281</v>
      </c>
      <c r="P130" s="287">
        <f t="shared" si="23"/>
        <v>0.27703259236264643</v>
      </c>
      <c r="Q130" s="287">
        <f t="shared" ref="Q130:S130" si="24">Q25 * (1 - Q$114)</f>
        <v>1.044869884302426</v>
      </c>
      <c r="R130" s="287">
        <f t="shared" si="24"/>
        <v>-0.28207627231653903</v>
      </c>
      <c r="S130" s="287">
        <f t="shared" si="24"/>
        <v>-0.2739646169901821</v>
      </c>
      <c r="T130" s="287">
        <f t="shared" ref="T130:U130" si="25">T25 * (1 - T$114)</f>
        <v>-0.28207627231653903</v>
      </c>
      <c r="U130" s="287">
        <f t="shared" si="25"/>
        <v>-0.28207627231653903</v>
      </c>
      <c r="V130" s="287">
        <f t="shared" ref="V130:W130" si="26">V25 * (1 - V$114)</f>
        <v>-0.2739646169901821</v>
      </c>
      <c r="W130" s="287">
        <f t="shared" si="26"/>
        <v>-0.2739646169901821</v>
      </c>
      <c r="X130" s="287">
        <f t="shared" ref="X130:Y130" si="27">X25 * (1 - X$114)</f>
        <v>-0.27108628768082965</v>
      </c>
      <c r="Y130" s="287">
        <f t="shared" si="27"/>
        <v>-0.27108628768082965</v>
      </c>
      <c r="Z130" s="269"/>
      <c r="AA130" s="269"/>
    </row>
    <row r="131" spans="4:27" x14ac:dyDescent="0.25">
      <c r="F131" t="s">
        <v>194</v>
      </c>
      <c r="G131" t="s">
        <v>269</v>
      </c>
      <c r="H131" s="269"/>
      <c r="I131" s="269"/>
      <c r="J131" s="287">
        <f t="shared" ref="J131:K131" si="28">J26 * (1 - J$115)</f>
        <v>0.484851598431702</v>
      </c>
      <c r="K131" s="287">
        <f t="shared" si="28"/>
        <v>0.484851598431702</v>
      </c>
      <c r="L131" s="287">
        <f t="shared" ref="L131:M131" si="29">L26 * (1 - L$115)</f>
        <v>0.41999474940446735</v>
      </c>
      <c r="M131" s="287">
        <f t="shared" si="29"/>
        <v>0.41999474940446735</v>
      </c>
      <c r="N131" s="287">
        <f t="shared" ref="N131:P131" si="30">N26 * (1 - N$115)</f>
        <v>0.35703483798391744</v>
      </c>
      <c r="O131" s="287">
        <f t="shared" si="30"/>
        <v>0.31902528050812179</v>
      </c>
      <c r="P131" s="287">
        <f t="shared" si="30"/>
        <v>0.21500055103915733</v>
      </c>
      <c r="Q131" s="287">
        <f t="shared" ref="Q131:S131" si="31">Q26 * (1 - Q$115)</f>
        <v>1.0930378277323229</v>
      </c>
      <c r="R131" s="287">
        <f t="shared" si="31"/>
        <v>-0.29279847866820463</v>
      </c>
      <c r="S131" s="287">
        <f t="shared" si="31"/>
        <v>-0.2843784853113267</v>
      </c>
      <c r="T131" s="287">
        <f t="shared" ref="T131:U131" si="32">T26 * (1 - T$115)</f>
        <v>-0.29279847866820463</v>
      </c>
      <c r="U131" s="287">
        <f t="shared" si="32"/>
        <v>-0.29279847866820463</v>
      </c>
      <c r="V131" s="287">
        <f t="shared" ref="V131:W131" si="33">V26 * (1 - V$115)</f>
        <v>-0.2843784853113267</v>
      </c>
      <c r="W131" s="287">
        <f t="shared" si="33"/>
        <v>-0.2843784853113267</v>
      </c>
      <c r="X131" s="287">
        <f t="shared" ref="X131:Y131" si="34">X26 * (1 - X$115)</f>
        <v>-0.26298214920070789</v>
      </c>
      <c r="Y131" s="287">
        <f t="shared" si="34"/>
        <v>-0.26298214920070789</v>
      </c>
      <c r="Z131" s="269"/>
      <c r="AA131" s="269"/>
    </row>
    <row r="132" spans="4:27" x14ac:dyDescent="0.25">
      <c r="F132" t="s">
        <v>195</v>
      </c>
      <c r="G132" t="s">
        <v>269</v>
      </c>
      <c r="H132" s="269"/>
      <c r="I132" s="269"/>
      <c r="J132" s="287">
        <f t="shared" ref="J132:K132" si="35">J27 * (1 - J$116)</f>
        <v>0.77998774034573082</v>
      </c>
      <c r="K132" s="287">
        <f t="shared" si="35"/>
        <v>0.77998774034573082</v>
      </c>
      <c r="L132" s="287">
        <f t="shared" ref="L132:M132" si="36">L27 * (1 - L$116)</f>
        <v>0.67565159443566858</v>
      </c>
      <c r="M132" s="287">
        <f t="shared" si="36"/>
        <v>0.67565159443566858</v>
      </c>
      <c r="N132" s="287">
        <f t="shared" ref="N132:P132" si="37">N27 * (1 - N$116)</f>
        <v>0.57436707933841724</v>
      </c>
      <c r="O132" s="287">
        <f t="shared" si="37"/>
        <v>0.51322055750991757</v>
      </c>
      <c r="P132" s="287">
        <f t="shared" si="37"/>
        <v>0</v>
      </c>
      <c r="Q132" s="287">
        <f t="shared" ref="Q132:S132" si="38">Q27 * (1 - Q$116)</f>
        <v>1.758385675375751</v>
      </c>
      <c r="R132" s="287">
        <f t="shared" si="38"/>
        <v>-0.47102912415220366</v>
      </c>
      <c r="S132" s="287">
        <f t="shared" si="38"/>
        <v>-0.45748375972853172</v>
      </c>
      <c r="T132" s="287">
        <f t="shared" ref="T132:U132" si="39">T27 * (1 - T$116)</f>
        <v>-0.47102912415220366</v>
      </c>
      <c r="U132" s="287">
        <f t="shared" si="39"/>
        <v>-0.47102912415220366</v>
      </c>
      <c r="V132" s="287">
        <f t="shared" ref="V132:W132" si="40">V27 * (1 - V$116)</f>
        <v>-0.45748375972853172</v>
      </c>
      <c r="W132" s="287">
        <f t="shared" si="40"/>
        <v>-0.45748375972853172</v>
      </c>
      <c r="X132" s="287">
        <f t="shared" ref="X132:Y132" si="41">X27 * (1 - X$116)</f>
        <v>-0.29350257771199401</v>
      </c>
      <c r="Y132" s="287">
        <f t="shared" si="41"/>
        <v>-0.29350257771199401</v>
      </c>
      <c r="Z132" s="269"/>
      <c r="AA132" s="269"/>
    </row>
    <row r="133" spans="4:27" x14ac:dyDescent="0.25">
      <c r="F133" t="s">
        <v>196</v>
      </c>
      <c r="G133" t="s">
        <v>269</v>
      </c>
      <c r="H133" s="269"/>
      <c r="I133" s="269"/>
      <c r="J133" s="287">
        <f t="shared" ref="J133:K133" si="42">J28 * (1 - J$117)</f>
        <v>7.8167984019099218E-2</v>
      </c>
      <c r="K133" s="287">
        <f t="shared" si="42"/>
        <v>7.8167984019099218E-2</v>
      </c>
      <c r="L133" s="287">
        <f t="shared" ref="L133:M133" si="43">L28 * (1 - L$117)</f>
        <v>6.7711734818955246E-2</v>
      </c>
      <c r="M133" s="287">
        <f t="shared" si="43"/>
        <v>6.7711734818955246E-2</v>
      </c>
      <c r="N133" s="287">
        <f t="shared" ref="N133:P133" si="44">N28 * (1 - N$117)</f>
        <v>5.7561310718706134E-2</v>
      </c>
      <c r="O133" s="287">
        <f t="shared" si="44"/>
        <v>5.1433393452987239E-2</v>
      </c>
      <c r="P133" s="287">
        <f t="shared" si="44"/>
        <v>0</v>
      </c>
      <c r="Q133" s="287">
        <f t="shared" ref="Q133:S133" si="45">Q28 * (1 - Q$117)</f>
        <v>0.17485761556518595</v>
      </c>
      <c r="R133" s="287">
        <f t="shared" si="45"/>
        <v>-4.7205097137731293E-2</v>
      </c>
      <c r="S133" s="287">
        <f t="shared" si="45"/>
        <v>-4.584762217365923E-2</v>
      </c>
      <c r="T133" s="287">
        <f t="shared" ref="T133:U133" si="46">T28 * (1 - T$117)</f>
        <v>-4.7205097137731293E-2</v>
      </c>
      <c r="U133" s="287">
        <f t="shared" si="46"/>
        <v>-4.7205097137731293E-2</v>
      </c>
      <c r="V133" s="287">
        <f t="shared" ref="V133:W133" si="47">V28 * (1 - V$117)</f>
        <v>-4.584762217365923E-2</v>
      </c>
      <c r="W133" s="287">
        <f t="shared" si="47"/>
        <v>-4.584762217365923E-2</v>
      </c>
      <c r="X133" s="287">
        <f t="shared" ref="X133:Y133" si="48">X28 * (1 - X$117)</f>
        <v>-2.941393001124129E-2</v>
      </c>
      <c r="Y133" s="287">
        <f t="shared" si="48"/>
        <v>-2.941393001124129E-2</v>
      </c>
      <c r="Z133" s="269"/>
      <c r="AA133" s="269"/>
    </row>
    <row r="134" spans="4:27" x14ac:dyDescent="0.25">
      <c r="F134" t="s">
        <v>197</v>
      </c>
      <c r="G134" t="s">
        <v>269</v>
      </c>
      <c r="H134" s="269"/>
      <c r="I134" s="269"/>
      <c r="J134" s="287">
        <f t="shared" ref="J134:K134" si="49">J29 * (1 - J$118)</f>
        <v>0.93597530050599564</v>
      </c>
      <c r="K134" s="287">
        <f t="shared" si="49"/>
        <v>0.93597530050599564</v>
      </c>
      <c r="L134" s="287">
        <f t="shared" ref="L134:M134" si="50">L29 * (1 - L$118)</f>
        <v>0.8107732614604567</v>
      </c>
      <c r="M134" s="287">
        <f t="shared" si="50"/>
        <v>0.8107732614604567</v>
      </c>
      <c r="N134" s="287">
        <f t="shared" ref="N134:P134" si="51">N29 * (1 - N$118)</f>
        <v>0.55138651225080748</v>
      </c>
      <c r="O134" s="287">
        <f t="shared" si="51"/>
        <v>0</v>
      </c>
      <c r="P134" s="287">
        <f t="shared" si="51"/>
        <v>0</v>
      </c>
      <c r="Q134" s="287">
        <f t="shared" ref="Q134:S134" si="52">Q29 * (1 - Q$118)</f>
        <v>2.1100402939484031</v>
      </c>
      <c r="R134" s="287">
        <f t="shared" si="52"/>
        <v>-0.56522891735454417</v>
      </c>
      <c r="S134" s="287">
        <f t="shared" si="52"/>
        <v>-0.54897465349740981</v>
      </c>
      <c r="T134" s="287">
        <f t="shared" ref="T134:U134" si="53">T29 * (1 - T$118)</f>
        <v>-0.56522891735454417</v>
      </c>
      <c r="U134" s="287">
        <f t="shared" si="53"/>
        <v>-0.56522891735454417</v>
      </c>
      <c r="V134" s="287">
        <f t="shared" ref="V134:W134" si="54">V29 * (1 - V$118)</f>
        <v>-0.54897465349740981</v>
      </c>
      <c r="W134" s="287">
        <f t="shared" si="54"/>
        <v>-0.54897465349740981</v>
      </c>
      <c r="X134" s="287">
        <f t="shared" ref="X134:Y134" si="55">X29 * (1 - X$118)</f>
        <v>0</v>
      </c>
      <c r="Y134" s="287">
        <f t="shared" si="55"/>
        <v>0</v>
      </c>
      <c r="Z134" s="269"/>
      <c r="AA134" s="269"/>
    </row>
    <row r="135" spans="4:27" x14ac:dyDescent="0.25">
      <c r="F135" t="s">
        <v>198</v>
      </c>
      <c r="G135" t="s">
        <v>269</v>
      </c>
      <c r="H135" s="269"/>
      <c r="I135" s="269"/>
      <c r="J135" s="287">
        <f t="shared" ref="J135:K135" si="56">J30 * (1 - J$119)</f>
        <v>0.23942802937698057</v>
      </c>
      <c r="K135" s="287">
        <f t="shared" si="56"/>
        <v>0.23942802937698057</v>
      </c>
      <c r="L135" s="287">
        <f t="shared" ref="L135:M135" si="57">L30 * (1 - L$119)</f>
        <v>0.20740060571906194</v>
      </c>
      <c r="M135" s="287">
        <f t="shared" si="57"/>
        <v>0.20740060571906194</v>
      </c>
      <c r="N135" s="287">
        <f t="shared" ref="N135:P135" si="58">N30 * (1 - N$119)</f>
        <v>0</v>
      </c>
      <c r="O135" s="287">
        <f t="shared" si="58"/>
        <v>0</v>
      </c>
      <c r="P135" s="287">
        <f t="shared" si="58"/>
        <v>0</v>
      </c>
      <c r="Q135" s="287">
        <f t="shared" ref="Q135:S135" si="59">Q30 * (1 - Q$119)</f>
        <v>0.53976081336011139</v>
      </c>
      <c r="R135" s="287">
        <f t="shared" si="59"/>
        <v>-0.14458890716017969</v>
      </c>
      <c r="S135" s="287">
        <f t="shared" si="59"/>
        <v>0</v>
      </c>
      <c r="T135" s="287">
        <f t="shared" ref="T135:U135" si="60">T30 * (1 - T$119)</f>
        <v>-0.14458890716017969</v>
      </c>
      <c r="U135" s="287">
        <f t="shared" si="60"/>
        <v>-0.14458890716017969</v>
      </c>
      <c r="V135" s="287">
        <f t="shared" ref="V135:W135" si="61">V30 * (1 - V$119)</f>
        <v>0</v>
      </c>
      <c r="W135" s="287">
        <f t="shared" si="61"/>
        <v>0</v>
      </c>
      <c r="X135" s="287">
        <f t="shared" ref="X135:Y135" si="62">X30 * (1 - X$119)</f>
        <v>0</v>
      </c>
      <c r="Y135" s="287">
        <f t="shared" si="62"/>
        <v>0</v>
      </c>
      <c r="Z135" s="269"/>
      <c r="AA135" s="269"/>
    </row>
    <row r="136" spans="4:27" x14ac:dyDescent="0.25">
      <c r="F136" t="s">
        <v>199</v>
      </c>
      <c r="G136" t="s">
        <v>269</v>
      </c>
      <c r="H136" s="269"/>
      <c r="I136" s="269"/>
      <c r="J136" s="287">
        <f t="shared" ref="J136:K136" si="63">J31 * (1 - J$120)</f>
        <v>0</v>
      </c>
      <c r="K136" s="287">
        <f t="shared" si="63"/>
        <v>0</v>
      </c>
      <c r="L136" s="287">
        <f t="shared" ref="L136:M136" si="64">L31 * (1 - L$120)</f>
        <v>0</v>
      </c>
      <c r="M136" s="287">
        <f t="shared" si="64"/>
        <v>0</v>
      </c>
      <c r="N136" s="287">
        <f t="shared" ref="N136:P136" si="65">N31 * (1 - N$120)</f>
        <v>0</v>
      </c>
      <c r="O136" s="287">
        <f t="shared" si="65"/>
        <v>0</v>
      </c>
      <c r="P136" s="287">
        <f t="shared" si="65"/>
        <v>0</v>
      </c>
      <c r="Q136" s="287">
        <f t="shared" ref="Q136:S136" si="66">Q31 * (1 - Q$120)</f>
        <v>0.22652028194806087</v>
      </c>
      <c r="R136" s="287">
        <f t="shared" si="66"/>
        <v>0</v>
      </c>
      <c r="S136" s="287">
        <f t="shared" si="66"/>
        <v>0</v>
      </c>
      <c r="T136" s="287">
        <f t="shared" ref="T136:U136" si="67">T31 * (1 - T$120)</f>
        <v>0</v>
      </c>
      <c r="U136" s="287">
        <f t="shared" si="67"/>
        <v>0</v>
      </c>
      <c r="V136" s="287">
        <f t="shared" ref="V136:W136" si="68">V31 * (1 - V$120)</f>
        <v>0</v>
      </c>
      <c r="W136" s="287">
        <f t="shared" si="68"/>
        <v>0</v>
      </c>
      <c r="X136" s="287">
        <f t="shared" ref="X136:Y136" si="69">X31 * (1 - X$120)</f>
        <v>0</v>
      </c>
      <c r="Y136" s="287">
        <f t="shared" si="69"/>
        <v>0</v>
      </c>
      <c r="Z136" s="269"/>
      <c r="AA136" s="269"/>
    </row>
    <row r="137" spans="4:27" x14ac:dyDescent="0.25">
      <c r="D137"/>
      <c r="F137" s="23" t="s">
        <v>376</v>
      </c>
      <c r="G137" s="23" t="s">
        <v>269</v>
      </c>
      <c r="H137" s="267"/>
      <c r="I137" s="267"/>
      <c r="J137" s="285"/>
      <c r="K137" s="285"/>
      <c r="L137" s="285"/>
      <c r="M137" s="285"/>
      <c r="N137" s="285"/>
      <c r="O137" s="285"/>
      <c r="P137" s="285"/>
      <c r="Q137" s="285"/>
      <c r="R137" s="285"/>
      <c r="S137" s="285"/>
      <c r="T137" s="285"/>
      <c r="U137" s="285"/>
      <c r="V137" s="285"/>
      <c r="W137" s="285"/>
      <c r="X137" s="285"/>
      <c r="Y137" s="285"/>
      <c r="Z137" s="269"/>
      <c r="AA137" s="269"/>
    </row>
    <row r="138" spans="4:27" x14ac:dyDescent="0.25">
      <c r="D138"/>
      <c r="F138" s="37" t="s">
        <v>377</v>
      </c>
      <c r="G138" s="37" t="s">
        <v>269</v>
      </c>
      <c r="H138" s="273"/>
      <c r="I138" s="273"/>
      <c r="J138" s="274"/>
      <c r="K138" s="274"/>
      <c r="L138" s="274"/>
      <c r="M138" s="274"/>
      <c r="N138" s="274"/>
      <c r="O138" s="274"/>
      <c r="P138" s="274"/>
      <c r="Q138" s="274"/>
      <c r="R138" s="274"/>
      <c r="S138" s="274"/>
      <c r="T138" s="274"/>
      <c r="U138" s="274"/>
      <c r="V138" s="274"/>
      <c r="W138" s="274"/>
      <c r="X138" s="274"/>
      <c r="Y138" s="274"/>
      <c r="Z138" s="269"/>
      <c r="AA138" s="269"/>
    </row>
    <row r="139" spans="4:27" x14ac:dyDescent="0.25">
      <c r="E139"/>
      <c r="J139" s="89"/>
      <c r="K139" s="89"/>
      <c r="L139" s="89"/>
      <c r="M139" s="89"/>
      <c r="N139" s="89"/>
      <c r="O139" s="89"/>
      <c r="P139" s="89"/>
      <c r="Q139" s="89"/>
      <c r="R139" s="89"/>
      <c r="S139" s="89"/>
      <c r="T139" s="89"/>
      <c r="U139" s="89"/>
      <c r="V139" s="89"/>
      <c r="W139" s="89"/>
      <c r="X139" s="89"/>
      <c r="Y139" s="89"/>
    </row>
    <row r="140" spans="4:27" x14ac:dyDescent="0.25">
      <c r="E140" s="32" t="s">
        <v>622</v>
      </c>
      <c r="J140" s="89"/>
      <c r="K140" s="89"/>
      <c r="L140" s="89"/>
      <c r="M140" s="89"/>
      <c r="N140" s="89"/>
      <c r="O140" s="89"/>
      <c r="P140" s="89"/>
      <c r="Q140" s="89"/>
      <c r="R140" s="89"/>
      <c r="S140" s="89"/>
      <c r="T140" s="89"/>
      <c r="U140" s="89"/>
      <c r="V140" s="89"/>
      <c r="W140" s="89"/>
      <c r="X140" s="89"/>
      <c r="Y140" s="89"/>
    </row>
    <row r="141" spans="4:27" x14ac:dyDescent="0.25">
      <c r="F141" s="23" t="s">
        <v>189</v>
      </c>
      <c r="G141" s="23" t="s">
        <v>269</v>
      </c>
      <c r="H141" s="267"/>
      <c r="I141" s="267"/>
      <c r="J141" s="286">
        <f t="shared" ref="J141:K141" si="70">J36 * (1 - J$112)</f>
        <v>0.60970379669854136</v>
      </c>
      <c r="K141" s="286">
        <f t="shared" si="70"/>
        <v>0.60970379669854136</v>
      </c>
      <c r="L141" s="286">
        <f t="shared" ref="L141:M141" si="71">L36 * (1 - L$112)</f>
        <v>0.52814591956311241</v>
      </c>
      <c r="M141" s="286">
        <f t="shared" si="71"/>
        <v>0.52814591956311241</v>
      </c>
      <c r="N141" s="286">
        <f t="shared" ref="N141:P141" si="72">N36 * (1 - N$112)</f>
        <v>0.44897345285973522</v>
      </c>
      <c r="O141" s="286">
        <f t="shared" si="72"/>
        <v>0.40117620607580301</v>
      </c>
      <c r="P141" s="286">
        <f t="shared" si="72"/>
        <v>0.36161229965430791</v>
      </c>
      <c r="Q141" s="286">
        <f t="shared" ref="Q141:S141" si="73">Q36 * (1 - Q$112)</f>
        <v>1.2003690914284559</v>
      </c>
      <c r="R141" s="286">
        <f t="shared" si="73"/>
        <v>-0.36819584526276083</v>
      </c>
      <c r="S141" s="286">
        <f t="shared" si="73"/>
        <v>-0.35760765305205056</v>
      </c>
      <c r="T141" s="286">
        <f t="shared" ref="T141:U141" si="74">T36 * (1 - T$112)</f>
        <v>-0.36819584526276083</v>
      </c>
      <c r="U141" s="286">
        <f t="shared" si="74"/>
        <v>-0.36819584526276083</v>
      </c>
      <c r="V141" s="286">
        <f t="shared" ref="V141:W141" si="75">V36 * (1 - V$112)</f>
        <v>-0.35760765305205056</v>
      </c>
      <c r="W141" s="286">
        <f t="shared" si="75"/>
        <v>-0.35760765305205056</v>
      </c>
      <c r="X141" s="286">
        <f t="shared" ref="X141:Y141" si="76">X36 * (1 - X$112)</f>
        <v>-0.35385055259018572</v>
      </c>
      <c r="Y141" s="286">
        <f t="shared" si="76"/>
        <v>-0.35385055259018572</v>
      </c>
      <c r="Z141" s="269"/>
      <c r="AA141" s="269"/>
    </row>
    <row r="142" spans="4:27" x14ac:dyDescent="0.25">
      <c r="F142" t="s">
        <v>191</v>
      </c>
      <c r="G142" t="s">
        <v>269</v>
      </c>
      <c r="H142" s="269"/>
      <c r="I142" s="269"/>
      <c r="J142" s="287">
        <f t="shared" ref="J142:K142" si="77">J37 * (1 - J$112)</f>
        <v>0</v>
      </c>
      <c r="K142" s="287">
        <f t="shared" si="77"/>
        <v>0</v>
      </c>
      <c r="L142" s="287">
        <f t="shared" ref="L142:M142" si="78">L37 * (1 - L$112)</f>
        <v>0</v>
      </c>
      <c r="M142" s="287">
        <f t="shared" si="78"/>
        <v>0</v>
      </c>
      <c r="N142" s="287">
        <f t="shared" ref="N142:P142" si="79">N37 * (1 - N$112)</f>
        <v>0</v>
      </c>
      <c r="O142" s="287">
        <f t="shared" si="79"/>
        <v>0</v>
      </c>
      <c r="P142" s="287">
        <f t="shared" si="79"/>
        <v>0</v>
      </c>
      <c r="Q142" s="287">
        <f t="shared" ref="Q142:S142" si="80">Q37 * (1 - Q$112)</f>
        <v>0</v>
      </c>
      <c r="R142" s="287">
        <f t="shared" si="80"/>
        <v>0</v>
      </c>
      <c r="S142" s="287">
        <f t="shared" si="80"/>
        <v>0</v>
      </c>
      <c r="T142" s="287">
        <f t="shared" ref="T142:U142" si="81">T37 * (1 - T$112)</f>
        <v>0</v>
      </c>
      <c r="U142" s="287">
        <f t="shared" si="81"/>
        <v>0</v>
      </c>
      <c r="V142" s="287">
        <f t="shared" ref="V142:W142" si="82">V37 * (1 - V$112)</f>
        <v>0</v>
      </c>
      <c r="W142" s="287">
        <f t="shared" si="82"/>
        <v>0</v>
      </c>
      <c r="X142" s="287">
        <f t="shared" ref="X142:Y142" si="83">X37 * (1 - X$112)</f>
        <v>0</v>
      </c>
      <c r="Y142" s="287">
        <f t="shared" si="83"/>
        <v>0</v>
      </c>
      <c r="Z142" s="269"/>
      <c r="AA142" s="269"/>
    </row>
    <row r="143" spans="4:27" x14ac:dyDescent="0.25">
      <c r="F143" t="s">
        <v>192</v>
      </c>
      <c r="G143" t="s">
        <v>269</v>
      </c>
      <c r="H143" s="269"/>
      <c r="I143" s="269"/>
      <c r="J143" s="287">
        <f t="shared" ref="J143:K143" si="84">J38 * (1 - J$113)</f>
        <v>0.56758931202458818</v>
      </c>
      <c r="K143" s="287">
        <f t="shared" si="84"/>
        <v>0.56758931202458818</v>
      </c>
      <c r="L143" s="287">
        <f t="shared" ref="L143:M143" si="85">L38 * (1 - L$113)</f>
        <v>0.49166493755924101</v>
      </c>
      <c r="M143" s="287">
        <f t="shared" si="85"/>
        <v>0.49166493755924101</v>
      </c>
      <c r="N143" s="287">
        <f t="shared" ref="N143:P143" si="86">N38 * (1 - N$113)</f>
        <v>0.41796120445016527</v>
      </c>
      <c r="O143" s="287">
        <f t="shared" si="86"/>
        <v>0.37346548937398838</v>
      </c>
      <c r="P143" s="287">
        <f t="shared" si="86"/>
        <v>0.33158190597675535</v>
      </c>
      <c r="Q143" s="287">
        <f t="shared" ref="Q143:S143" si="87">Q38 * (1 - Q$113)</f>
        <v>1.2696670506003354</v>
      </c>
      <c r="R143" s="287">
        <f t="shared" si="87"/>
        <v>-0.34276320343521022</v>
      </c>
      <c r="S143" s="287">
        <f t="shared" si="87"/>
        <v>-0.332906376620283</v>
      </c>
      <c r="T143" s="287">
        <f t="shared" ref="T143:U143" si="88">T38 * (1 - T$113)</f>
        <v>-0.34276320343521022</v>
      </c>
      <c r="U143" s="287">
        <f t="shared" si="88"/>
        <v>-0.34276320343521022</v>
      </c>
      <c r="V143" s="287">
        <f t="shared" ref="V143:W143" si="89">V38 * (1 - V$113)</f>
        <v>-0.332906376620283</v>
      </c>
      <c r="W143" s="287">
        <f t="shared" si="89"/>
        <v>-0.332906376620283</v>
      </c>
      <c r="X143" s="287">
        <f t="shared" ref="X143:Y143" si="90">X38 * (1 - X$113)</f>
        <v>-0.3294087929117604</v>
      </c>
      <c r="Y143" s="287">
        <f t="shared" si="90"/>
        <v>-0.3294087929117604</v>
      </c>
      <c r="Z143" s="269"/>
      <c r="AA143" s="269"/>
    </row>
    <row r="144" spans="4:27" x14ac:dyDescent="0.25">
      <c r="F144" t="s">
        <v>193</v>
      </c>
      <c r="G144" t="s">
        <v>269</v>
      </c>
      <c r="H144" s="269"/>
      <c r="I144" s="269"/>
      <c r="J144" s="287">
        <f t="shared" ref="J144:K144" si="91">J39 * (1 - J$114)</f>
        <v>0.29656011937478538</v>
      </c>
      <c r="K144" s="287">
        <f t="shared" si="91"/>
        <v>0.29656011937478538</v>
      </c>
      <c r="L144" s="287">
        <f t="shared" ref="L144:M144" si="92">L39 * (1 - L$114)</f>
        <v>0.25689034216459739</v>
      </c>
      <c r="M144" s="287">
        <f t="shared" si="92"/>
        <v>0.25689034216459739</v>
      </c>
      <c r="N144" s="287">
        <f t="shared" ref="N144:P144" si="93">N39 * (1 - N$114)</f>
        <v>0.21838082934232642</v>
      </c>
      <c r="O144" s="287">
        <f t="shared" si="93"/>
        <v>0.19513223340314534</v>
      </c>
      <c r="P144" s="287">
        <f t="shared" si="93"/>
        <v>0.17588833681791108</v>
      </c>
      <c r="Q144" s="287">
        <f t="shared" ref="Q144:S144" si="94">Q39 * (1 - Q$114)</f>
        <v>0.66338918671526259</v>
      </c>
      <c r="R144" s="287">
        <f t="shared" si="94"/>
        <v>-0.1790905754822005</v>
      </c>
      <c r="S144" s="287">
        <f t="shared" si="94"/>
        <v>-0.17394047544514279</v>
      </c>
      <c r="T144" s="287">
        <f t="shared" ref="T144:U144" si="95">T39 * (1 - T$114)</f>
        <v>-0.1790905754822005</v>
      </c>
      <c r="U144" s="287">
        <f t="shared" si="95"/>
        <v>-0.1790905754822005</v>
      </c>
      <c r="V144" s="287">
        <f t="shared" ref="V144:W144" si="96">V39 * (1 - V$114)</f>
        <v>-0.17394047544514279</v>
      </c>
      <c r="W144" s="287">
        <f t="shared" si="96"/>
        <v>-0.17394047544514279</v>
      </c>
      <c r="X144" s="287">
        <f t="shared" ref="X144:Y144" si="97">X39 * (1 - X$114)</f>
        <v>-0.17211302059328359</v>
      </c>
      <c r="Y144" s="287">
        <f t="shared" si="97"/>
        <v>-0.17211302059328359</v>
      </c>
      <c r="Z144" s="269"/>
      <c r="AA144" s="269"/>
    </row>
    <row r="145" spans="3:27" x14ac:dyDescent="0.25">
      <c r="F145" t="s">
        <v>194</v>
      </c>
      <c r="G145" t="s">
        <v>269</v>
      </c>
      <c r="H145" s="269"/>
      <c r="I145" s="269"/>
      <c r="J145" s="287">
        <f t="shared" ref="J145:K145" si="98">J40 * (1 - J$115)</f>
        <v>0.30783288177162677</v>
      </c>
      <c r="K145" s="287">
        <f t="shared" si="98"/>
        <v>0.30783288177162677</v>
      </c>
      <c r="L145" s="287">
        <f t="shared" ref="L145:M145" si="99">L40 * (1 - L$115)</f>
        <v>0.26665518780658692</v>
      </c>
      <c r="M145" s="287">
        <f t="shared" si="99"/>
        <v>0.26665518780658692</v>
      </c>
      <c r="N145" s="287">
        <f t="shared" ref="N145:P145" si="100">N40 * (1 - N$115)</f>
        <v>0.22668186188301709</v>
      </c>
      <c r="O145" s="287">
        <f t="shared" si="100"/>
        <v>0.20254954665401689</v>
      </c>
      <c r="P145" s="287">
        <f t="shared" si="100"/>
        <v>0.14605932505509941</v>
      </c>
      <c r="Q145" s="287">
        <f t="shared" ref="Q145:S145" si="101">Q40 * (1 - Q$115)</f>
        <v>0.69397107379782452</v>
      </c>
      <c r="R145" s="287">
        <f t="shared" si="101"/>
        <v>-0.18589811760614017</v>
      </c>
      <c r="S145" s="287">
        <f t="shared" si="101"/>
        <v>-0.18055225337071315</v>
      </c>
      <c r="T145" s="287">
        <f t="shared" ref="T145:U145" si="102">T40 * (1 - T$115)</f>
        <v>-0.18589811760614017</v>
      </c>
      <c r="U145" s="287">
        <f t="shared" si="102"/>
        <v>-0.18589811760614017</v>
      </c>
      <c r="V145" s="287">
        <f t="shared" ref="V145:W145" si="103">V40 * (1 - V$115)</f>
        <v>-0.18055225337071315</v>
      </c>
      <c r="W145" s="287">
        <f t="shared" si="103"/>
        <v>-0.18055225337071315</v>
      </c>
      <c r="X145" s="287">
        <f t="shared" ref="X145:Y145" si="104">X40 * (1 - X$115)</f>
        <v>-0.17865533380330353</v>
      </c>
      <c r="Y145" s="287">
        <f t="shared" si="104"/>
        <v>-0.17865533380330353</v>
      </c>
      <c r="Z145" s="269"/>
      <c r="AA145" s="269"/>
    </row>
    <row r="146" spans="3:27" x14ac:dyDescent="0.25">
      <c r="F146" t="s">
        <v>195</v>
      </c>
      <c r="G146" t="s">
        <v>269</v>
      </c>
      <c r="H146" s="269"/>
      <c r="I146" s="269"/>
      <c r="J146" s="287">
        <f t="shared" ref="J146:K146" si="105">J41 * (1 - J$116)</f>
        <v>0.49521518467467296</v>
      </c>
      <c r="K146" s="287">
        <f t="shared" si="105"/>
        <v>0.49521518467467296</v>
      </c>
      <c r="L146" s="287">
        <f t="shared" ref="L146:M146" si="106">L41 * (1 - L$116)</f>
        <v>0.42897203610647516</v>
      </c>
      <c r="M146" s="287">
        <f t="shared" si="106"/>
        <v>0.42897203610647516</v>
      </c>
      <c r="N146" s="287">
        <f t="shared" ref="N146:P146" si="107">N41 * (1 - N$116)</f>
        <v>0.36466637172983057</v>
      </c>
      <c r="O146" s="287">
        <f t="shared" si="107"/>
        <v>0.32584436910951697</v>
      </c>
      <c r="P146" s="287">
        <f t="shared" si="107"/>
        <v>0</v>
      </c>
      <c r="Q146" s="287">
        <f t="shared" ref="Q146:S146" si="108">Q41 * (1 - Q$116)</f>
        <v>1.116401248274143</v>
      </c>
      <c r="R146" s="287">
        <f t="shared" si="108"/>
        <v>-0.29905697569142531</v>
      </c>
      <c r="S146" s="287">
        <f t="shared" si="108"/>
        <v>-0.29045700700271077</v>
      </c>
      <c r="T146" s="287">
        <f t="shared" ref="T146:U146" si="109">T41 * (1 - T$116)</f>
        <v>-0.29905697569142531</v>
      </c>
      <c r="U146" s="287">
        <f t="shared" si="109"/>
        <v>-0.29905697569142531</v>
      </c>
      <c r="V146" s="287">
        <f t="shared" ref="V146:W146" si="110">V41 * (1 - V$116)</f>
        <v>-0.29045700700271077</v>
      </c>
      <c r="W146" s="287">
        <f t="shared" si="110"/>
        <v>-0.29045700700271077</v>
      </c>
      <c r="X146" s="287">
        <f t="shared" ref="X146:Y146" si="111">X41 * (1 - X$116)</f>
        <v>-0.28740540520994118</v>
      </c>
      <c r="Y146" s="287">
        <f t="shared" si="111"/>
        <v>-0.28740540520994118</v>
      </c>
      <c r="Z146" s="269"/>
      <c r="AA146" s="269"/>
    </row>
    <row r="147" spans="3:27" x14ac:dyDescent="0.25">
      <c r="F147" t="s">
        <v>196</v>
      </c>
      <c r="G147" t="s">
        <v>269</v>
      </c>
      <c r="H147" s="269"/>
      <c r="I147" s="269"/>
      <c r="J147" s="287">
        <f t="shared" ref="J147:K147" si="112">J42 * (1 - J$117)</f>
        <v>4.962895009671154E-2</v>
      </c>
      <c r="K147" s="287">
        <f t="shared" si="112"/>
        <v>4.962895009671154E-2</v>
      </c>
      <c r="L147" s="287">
        <f t="shared" ref="L147:M147" si="113">L42 * (1 - L$117)</f>
        <v>4.2990264498450101E-2</v>
      </c>
      <c r="M147" s="287">
        <f t="shared" si="113"/>
        <v>4.2990264498450101E-2</v>
      </c>
      <c r="N147" s="287">
        <f t="shared" ref="N147:P147" si="114">N42 * (1 - N$117)</f>
        <v>3.6545747635783714E-2</v>
      </c>
      <c r="O147" s="287">
        <f t="shared" si="114"/>
        <v>3.2655125356170718E-2</v>
      </c>
      <c r="P147" s="287">
        <f t="shared" si="114"/>
        <v>0</v>
      </c>
      <c r="Q147" s="287">
        <f t="shared" ref="Q147:S147" si="115">Q42 * (1 - Q$117)</f>
        <v>0.1110173172023247</v>
      </c>
      <c r="R147" s="287">
        <f t="shared" si="115"/>
        <v>-2.9970574776323679E-2</v>
      </c>
      <c r="S147" s="287">
        <f t="shared" si="115"/>
        <v>-2.9108712236373731E-2</v>
      </c>
      <c r="T147" s="287">
        <f t="shared" ref="T147:U147" si="116">T42 * (1 - T$117)</f>
        <v>-2.9970574776323679E-2</v>
      </c>
      <c r="U147" s="287">
        <f t="shared" si="116"/>
        <v>-2.9970574776323679E-2</v>
      </c>
      <c r="V147" s="287">
        <f t="shared" ref="V147:W147" si="117">V42 * (1 - V$117)</f>
        <v>-2.9108712236373731E-2</v>
      </c>
      <c r="W147" s="287">
        <f t="shared" si="117"/>
        <v>-2.9108712236373731E-2</v>
      </c>
      <c r="X147" s="287">
        <f t="shared" ref="X147:Y147" si="118">X42 * (1 - X$117)</f>
        <v>-2.8802890044778595E-2</v>
      </c>
      <c r="Y147" s="287">
        <f t="shared" si="118"/>
        <v>-2.8802890044778595E-2</v>
      </c>
      <c r="Z147" s="269"/>
      <c r="AA147" s="269"/>
    </row>
    <row r="148" spans="3:27" x14ac:dyDescent="0.25">
      <c r="F148" t="s">
        <v>197</v>
      </c>
      <c r="G148" t="s">
        <v>269</v>
      </c>
      <c r="H148" s="269"/>
      <c r="I148" s="269"/>
      <c r="J148" s="287">
        <f t="shared" ref="J148:K148" si="119">J43 * (1 - J$118)</f>
        <v>1.1408909997469208</v>
      </c>
      <c r="K148" s="287">
        <f t="shared" si="119"/>
        <v>1.1408909997469208</v>
      </c>
      <c r="L148" s="287">
        <f t="shared" ref="L148:M148" si="120">L43 * (1 - L$118)</f>
        <v>0.98827812692880612</v>
      </c>
      <c r="M148" s="287">
        <f t="shared" si="120"/>
        <v>0.98827812692880612</v>
      </c>
      <c r="N148" s="287">
        <f t="shared" ref="N148:P148" si="121">N43 * (1 - N$118)</f>
        <v>0.67210310877724044</v>
      </c>
      <c r="O148" s="287">
        <f t="shared" si="121"/>
        <v>0</v>
      </c>
      <c r="P148" s="287">
        <f t="shared" si="121"/>
        <v>0</v>
      </c>
      <c r="Q148" s="287">
        <f t="shared" ref="Q148:S148" si="122">Q43 * (1 - Q$118)</f>
        <v>2.5719973370746652</v>
      </c>
      <c r="R148" s="287">
        <f t="shared" si="122"/>
        <v>-0.6889760704773692</v>
      </c>
      <c r="S148" s="287">
        <f t="shared" si="122"/>
        <v>-0.66916321501837217</v>
      </c>
      <c r="T148" s="287">
        <f t="shared" ref="T148:U148" si="123">T43 * (1 - T$118)</f>
        <v>-0.6889760704773692</v>
      </c>
      <c r="U148" s="287">
        <f t="shared" si="123"/>
        <v>-0.6889760704773692</v>
      </c>
      <c r="V148" s="287">
        <f t="shared" ref="V148:W148" si="124">V43 * (1 - V$118)</f>
        <v>-0.66916321501837217</v>
      </c>
      <c r="W148" s="287">
        <f t="shared" si="124"/>
        <v>-0.66916321501837217</v>
      </c>
      <c r="X148" s="287">
        <f t="shared" ref="X148:Y148" si="125">X43 * (1 - X$118)</f>
        <v>0</v>
      </c>
      <c r="Y148" s="287">
        <f t="shared" si="125"/>
        <v>0</v>
      </c>
      <c r="Z148" s="269"/>
      <c r="AA148" s="269"/>
    </row>
    <row r="149" spans="3:27" x14ac:dyDescent="0.25">
      <c r="F149" t="s">
        <v>198</v>
      </c>
      <c r="G149" t="s">
        <v>269</v>
      </c>
      <c r="H149" s="269"/>
      <c r="I149" s="269"/>
      <c r="J149" s="287">
        <f t="shared" ref="J149:K149" si="126">J44 * (1 - J$119)</f>
        <v>0.52224529842137724</v>
      </c>
      <c r="K149" s="287">
        <f t="shared" si="126"/>
        <v>0.52224529842137724</v>
      </c>
      <c r="L149" s="287">
        <f t="shared" ref="L149:M149" si="127">L44 * (1 - L$119)</f>
        <v>0.45238642905916848</v>
      </c>
      <c r="M149" s="287">
        <f t="shared" si="127"/>
        <v>0.45238642905916848</v>
      </c>
      <c r="N149" s="287">
        <f t="shared" ref="N149:P149" si="128">N44 * (1 - N$119)</f>
        <v>0</v>
      </c>
      <c r="O149" s="287">
        <f t="shared" si="128"/>
        <v>0</v>
      </c>
      <c r="P149" s="287">
        <f t="shared" si="128"/>
        <v>0</v>
      </c>
      <c r="Q149" s="287">
        <f t="shared" ref="Q149:S149" si="129">Q44 * (1 - Q$119)</f>
        <v>1.1773372891341116</v>
      </c>
      <c r="R149" s="287">
        <f t="shared" si="129"/>
        <v>-0.31538027174502881</v>
      </c>
      <c r="S149" s="287">
        <f t="shared" si="129"/>
        <v>0</v>
      </c>
      <c r="T149" s="287">
        <f t="shared" ref="T149:U149" si="130">T44 * (1 - T$119)</f>
        <v>-0.31538027174502881</v>
      </c>
      <c r="U149" s="287">
        <f t="shared" si="130"/>
        <v>-0.31538027174502881</v>
      </c>
      <c r="V149" s="287">
        <f t="shared" ref="V149:W149" si="131">V44 * (1 - V$119)</f>
        <v>0</v>
      </c>
      <c r="W149" s="287">
        <f t="shared" si="131"/>
        <v>0</v>
      </c>
      <c r="X149" s="287">
        <f t="shared" ref="X149:Y149" si="132">X44 * (1 - X$119)</f>
        <v>0</v>
      </c>
      <c r="Y149" s="287">
        <f t="shared" si="132"/>
        <v>0</v>
      </c>
      <c r="Z149" s="269"/>
      <c r="AA149" s="269"/>
    </row>
    <row r="150" spans="3:27" x14ac:dyDescent="0.25">
      <c r="F150" t="s">
        <v>199</v>
      </c>
      <c r="G150" t="s">
        <v>269</v>
      </c>
      <c r="H150" s="269"/>
      <c r="I150" s="269"/>
      <c r="J150" s="287">
        <f t="shared" ref="J150:K150" si="133">J45 * (1 - J$120)</f>
        <v>0</v>
      </c>
      <c r="K150" s="287">
        <f t="shared" si="133"/>
        <v>0</v>
      </c>
      <c r="L150" s="287">
        <f t="shared" ref="L150:M150" si="134">L45 * (1 - L$120)</f>
        <v>0</v>
      </c>
      <c r="M150" s="287">
        <f t="shared" si="134"/>
        <v>0</v>
      </c>
      <c r="N150" s="287">
        <f t="shared" ref="N150:P150" si="135">N45 * (1 - N$120)</f>
        <v>0</v>
      </c>
      <c r="O150" s="287">
        <f t="shared" si="135"/>
        <v>0</v>
      </c>
      <c r="P150" s="287">
        <f t="shared" si="135"/>
        <v>0</v>
      </c>
      <c r="Q150" s="287">
        <f t="shared" ref="Q150:S150" si="136">Q45 * (1 - Q$120)</f>
        <v>2.3466764449972839</v>
      </c>
      <c r="R150" s="287">
        <f t="shared" si="136"/>
        <v>0</v>
      </c>
      <c r="S150" s="287">
        <f t="shared" si="136"/>
        <v>0</v>
      </c>
      <c r="T150" s="287">
        <f t="shared" ref="T150:U150" si="137">T45 * (1 - T$120)</f>
        <v>0</v>
      </c>
      <c r="U150" s="287">
        <f t="shared" si="137"/>
        <v>0</v>
      </c>
      <c r="V150" s="287">
        <f t="shared" ref="V150:W150" si="138">V45 * (1 - V$120)</f>
        <v>0</v>
      </c>
      <c r="W150" s="287">
        <f t="shared" si="138"/>
        <v>0</v>
      </c>
      <c r="X150" s="287">
        <f t="shared" ref="X150:Y150" si="139">X45 * (1 - X$120)</f>
        <v>0</v>
      </c>
      <c r="Y150" s="287">
        <f t="shared" si="139"/>
        <v>0</v>
      </c>
      <c r="Z150" s="269"/>
      <c r="AA150" s="269"/>
    </row>
    <row r="151" spans="3:27" x14ac:dyDescent="0.25">
      <c r="D151"/>
      <c r="F151" s="23" t="s">
        <v>376</v>
      </c>
      <c r="G151" s="23" t="s">
        <v>269</v>
      </c>
      <c r="H151" s="267"/>
      <c r="I151" s="267" t="s">
        <v>154</v>
      </c>
      <c r="J151" s="285"/>
      <c r="K151" s="285"/>
      <c r="L151" s="285"/>
      <c r="M151" s="285"/>
      <c r="N151" s="285"/>
      <c r="O151" s="285"/>
      <c r="P151" s="285"/>
      <c r="Q151" s="286">
        <f t="shared" ref="Q151" si="140">Q46</f>
        <v>0.79060175753563178</v>
      </c>
      <c r="R151" s="285"/>
      <c r="S151" s="285"/>
      <c r="T151" s="285"/>
      <c r="U151" s="285"/>
      <c r="V151" s="285"/>
      <c r="W151" s="285"/>
      <c r="X151" s="285"/>
      <c r="Y151" s="285"/>
      <c r="Z151" s="269"/>
      <c r="AA151" s="269" t="s">
        <v>654</v>
      </c>
    </row>
    <row r="152" spans="3:27" x14ac:dyDescent="0.25">
      <c r="D152"/>
      <c r="F152" s="37" t="s">
        <v>377</v>
      </c>
      <c r="G152" s="37" t="s">
        <v>269</v>
      </c>
      <c r="H152" s="273"/>
      <c r="I152" s="273"/>
      <c r="J152" s="274"/>
      <c r="K152" s="274"/>
      <c r="L152" s="274"/>
      <c r="M152" s="274"/>
      <c r="N152" s="274"/>
      <c r="O152" s="274"/>
      <c r="P152" s="274"/>
      <c r="Q152" s="274"/>
      <c r="R152" s="274"/>
      <c r="S152" s="274"/>
      <c r="T152" s="274"/>
      <c r="U152" s="274"/>
      <c r="V152" s="274"/>
      <c r="W152" s="274"/>
      <c r="X152" s="274"/>
      <c r="Y152" s="274"/>
      <c r="Z152" s="269"/>
      <c r="AA152" s="269"/>
    </row>
    <row r="153" spans="3:27" x14ac:dyDescent="0.25">
      <c r="E153"/>
      <c r="J153" s="89"/>
      <c r="K153" s="89"/>
      <c r="L153" s="89"/>
      <c r="M153" s="89"/>
      <c r="N153" s="89"/>
      <c r="O153" s="89"/>
      <c r="P153" s="89"/>
      <c r="Q153" s="89"/>
      <c r="R153" s="89"/>
      <c r="S153" s="89"/>
      <c r="T153" s="89"/>
      <c r="U153" s="89"/>
      <c r="V153" s="89"/>
      <c r="W153" s="89"/>
      <c r="X153" s="89"/>
      <c r="Y153" s="89"/>
    </row>
    <row r="154" spans="3:27" x14ac:dyDescent="0.25">
      <c r="C154" s="31" t="str">
        <f ca="1">INDEX('Version control'!$H$34:$H$57,MATCH($A$1,'Version control'!$F$34:$F$57,0),1)&amp;"-F: Contributions to unit rate 2 p/kWh by network level (taking account of standing charges)"</f>
        <v>Section 111-F: Contributions to unit rate 2 p/kWh by network level (taking account of standing charges)</v>
      </c>
      <c r="D154" s="31"/>
      <c r="E154" s="31"/>
      <c r="F154" s="31"/>
      <c r="G154" s="31"/>
      <c r="H154" s="31"/>
      <c r="I154" s="31"/>
      <c r="J154" s="90"/>
      <c r="K154" s="90"/>
      <c r="L154" s="90"/>
      <c r="M154" s="90"/>
      <c r="N154" s="90"/>
      <c r="O154" s="90"/>
      <c r="P154" s="90"/>
      <c r="Q154" s="90"/>
      <c r="R154" s="90"/>
      <c r="S154" s="90"/>
      <c r="T154" s="90"/>
      <c r="U154" s="90"/>
      <c r="V154" s="90"/>
      <c r="W154" s="90"/>
      <c r="X154" s="90"/>
      <c r="Y154" s="90"/>
      <c r="Z154" s="31"/>
      <c r="AA154" s="31"/>
    </row>
    <row r="155" spans="3:27" x14ac:dyDescent="0.25">
      <c r="C155" s="32"/>
      <c r="D155" s="32"/>
      <c r="E155"/>
      <c r="I155" t="s">
        <v>154</v>
      </c>
      <c r="J155" s="89"/>
      <c r="K155" s="89"/>
      <c r="L155" s="89"/>
      <c r="M155" s="89"/>
      <c r="N155" s="89"/>
      <c r="O155" s="89"/>
      <c r="P155" s="89"/>
      <c r="Q155" s="89"/>
      <c r="R155" s="89"/>
      <c r="S155" s="89"/>
      <c r="T155" s="89"/>
      <c r="U155" s="89"/>
      <c r="V155" s="89"/>
      <c r="W155" s="89"/>
      <c r="X155" s="89"/>
      <c r="Y155" s="89"/>
      <c r="AA155" t="s">
        <v>656</v>
      </c>
    </row>
    <row r="156" spans="3:27" x14ac:dyDescent="0.25">
      <c r="E156" s="32" t="s">
        <v>621</v>
      </c>
      <c r="J156" s="89"/>
      <c r="K156" s="89"/>
      <c r="L156" s="89"/>
      <c r="M156" s="89"/>
      <c r="N156" s="89"/>
      <c r="O156" s="89"/>
      <c r="P156" s="89"/>
      <c r="Q156" s="89"/>
      <c r="R156" s="89"/>
      <c r="S156" s="89"/>
      <c r="T156" s="89"/>
      <c r="U156" s="89"/>
      <c r="V156" s="89"/>
      <c r="W156" s="89"/>
      <c r="X156" s="89"/>
      <c r="Y156" s="89"/>
    </row>
    <row r="157" spans="3:27" x14ac:dyDescent="0.25">
      <c r="F157" s="23" t="s">
        <v>189</v>
      </c>
      <c r="G157" s="23" t="s">
        <v>269</v>
      </c>
      <c r="H157" s="267"/>
      <c r="I157" s="267"/>
      <c r="J157" s="286">
        <f t="shared" ref="J157:K157" si="141">J52 * (1 - J$112)</f>
        <v>0</v>
      </c>
      <c r="K157" s="286">
        <f t="shared" si="141"/>
        <v>0</v>
      </c>
      <c r="L157" s="286">
        <f t="shared" ref="L157:M157" si="142">L52 * (1 - L$112)</f>
        <v>0</v>
      </c>
      <c r="M157" s="286">
        <f t="shared" si="142"/>
        <v>0</v>
      </c>
      <c r="N157" s="286">
        <f t="shared" ref="N157:P157" si="143">N52 * (1 - N$112)</f>
        <v>0</v>
      </c>
      <c r="O157" s="286">
        <f t="shared" si="143"/>
        <v>0</v>
      </c>
      <c r="P157" s="286">
        <f t="shared" si="143"/>
        <v>0</v>
      </c>
      <c r="Q157" s="286">
        <f t="shared" ref="Q157:S157" si="144">Q52 * (1 - Q$112)</f>
        <v>0</v>
      </c>
      <c r="R157" s="286">
        <f t="shared" si="144"/>
        <v>0</v>
      </c>
      <c r="S157" s="286">
        <f t="shared" si="144"/>
        <v>0</v>
      </c>
      <c r="T157" s="286">
        <f t="shared" ref="T157:U157" si="145">T52 * (1 - T$112)</f>
        <v>0</v>
      </c>
      <c r="U157" s="286">
        <f t="shared" si="145"/>
        <v>0</v>
      </c>
      <c r="V157" s="286">
        <f t="shared" ref="V157:W157" si="146">V52 * (1 - V$112)</f>
        <v>0</v>
      </c>
      <c r="W157" s="286">
        <f t="shared" si="146"/>
        <v>0</v>
      </c>
      <c r="X157" s="286">
        <f t="shared" ref="X157:Y157" si="147">X52 * (1 - X$112)</f>
        <v>0</v>
      </c>
      <c r="Y157" s="286">
        <f t="shared" si="147"/>
        <v>0</v>
      </c>
      <c r="Z157" s="269"/>
      <c r="AA157" s="269"/>
    </row>
    <row r="158" spans="3:27" x14ac:dyDescent="0.25">
      <c r="F158" t="s">
        <v>191</v>
      </c>
      <c r="G158" t="s">
        <v>269</v>
      </c>
      <c r="H158" s="269"/>
      <c r="I158" s="269"/>
      <c r="J158" s="287">
        <f t="shared" ref="J158:K158" si="148">J53 * (1 - J$112)</f>
        <v>0</v>
      </c>
      <c r="K158" s="287">
        <f t="shared" si="148"/>
        <v>0</v>
      </c>
      <c r="L158" s="287">
        <f t="shared" ref="L158:M158" si="149">L53 * (1 - L$112)</f>
        <v>0</v>
      </c>
      <c r="M158" s="287">
        <f t="shared" si="149"/>
        <v>0</v>
      </c>
      <c r="N158" s="287">
        <f t="shared" ref="N158:P158" si="150">N53 * (1 - N$112)</f>
        <v>0</v>
      </c>
      <c r="O158" s="287">
        <f t="shared" si="150"/>
        <v>0</v>
      </c>
      <c r="P158" s="287">
        <f t="shared" si="150"/>
        <v>0</v>
      </c>
      <c r="Q158" s="287">
        <f t="shared" ref="Q158:S158" si="151">Q53 * (1 - Q$112)</f>
        <v>0</v>
      </c>
      <c r="R158" s="287">
        <f t="shared" si="151"/>
        <v>0</v>
      </c>
      <c r="S158" s="287">
        <f t="shared" si="151"/>
        <v>0</v>
      </c>
      <c r="T158" s="287">
        <f t="shared" ref="T158:U158" si="152">T53 * (1 - T$112)</f>
        <v>0</v>
      </c>
      <c r="U158" s="287">
        <f t="shared" si="152"/>
        <v>0</v>
      </c>
      <c r="V158" s="287">
        <f t="shared" ref="V158:W158" si="153">V53 * (1 - V$112)</f>
        <v>0</v>
      </c>
      <c r="W158" s="287">
        <f t="shared" si="153"/>
        <v>0</v>
      </c>
      <c r="X158" s="287">
        <f t="shared" ref="X158:Y158" si="154">X53 * (1 - X$112)</f>
        <v>0</v>
      </c>
      <c r="Y158" s="287">
        <f t="shared" si="154"/>
        <v>0</v>
      </c>
      <c r="Z158" s="269"/>
      <c r="AA158" s="269"/>
    </row>
    <row r="159" spans="3:27" x14ac:dyDescent="0.25">
      <c r="F159" t="s">
        <v>192</v>
      </c>
      <c r="G159" t="s">
        <v>269</v>
      </c>
      <c r="H159" s="269"/>
      <c r="I159" s="269"/>
      <c r="J159" s="287">
        <f t="shared" ref="J159:K159" si="155">J54 * (1 - J$113)</f>
        <v>8.20832196261818E-2</v>
      </c>
      <c r="K159" s="287">
        <f t="shared" si="155"/>
        <v>8.20832196261818E-2</v>
      </c>
      <c r="L159" s="287">
        <f t="shared" ref="L159:M159" si="156">L54 * (1 - L$113)</f>
        <v>7.1103243484647985E-2</v>
      </c>
      <c r="M159" s="287">
        <f t="shared" si="156"/>
        <v>7.1103243484647985E-2</v>
      </c>
      <c r="N159" s="287">
        <f t="shared" ref="N159:P159" si="157">N54 * (1 - N$113)</f>
        <v>6.0444410444818519E-2</v>
      </c>
      <c r="O159" s="287">
        <f t="shared" si="157"/>
        <v>5.4009561381163848E-2</v>
      </c>
      <c r="P159" s="287">
        <f t="shared" si="157"/>
        <v>4.7952471682868661E-2</v>
      </c>
      <c r="Q159" s="287">
        <f t="shared" ref="Q159:S159" si="158">Q54 * (1 - Q$113)</f>
        <v>5.937154460428945E-2</v>
      </c>
      <c r="R159" s="287">
        <f t="shared" si="158"/>
        <v>-4.9569480452315427E-2</v>
      </c>
      <c r="S159" s="287">
        <f t="shared" si="158"/>
        <v>-4.8144013018157933E-2</v>
      </c>
      <c r="T159" s="287">
        <f t="shared" ref="T159:U159" si="159">T54 * (1 - T$113)</f>
        <v>-4.9569480452315427E-2</v>
      </c>
      <c r="U159" s="287">
        <f t="shared" si="159"/>
        <v>-4.9569480452315427E-2</v>
      </c>
      <c r="V159" s="287">
        <f t="shared" ref="V159:W159" si="160">V54 * (1 - V$113)</f>
        <v>-4.8144013018157933E-2</v>
      </c>
      <c r="W159" s="287">
        <f t="shared" si="160"/>
        <v>-4.8144013018157933E-2</v>
      </c>
      <c r="X159" s="287">
        <f t="shared" ref="X159:Y159" si="161">X54 * (1 - X$113)</f>
        <v>-4.7638201993134309E-2</v>
      </c>
      <c r="Y159" s="287">
        <f t="shared" si="161"/>
        <v>-4.7638201993134309E-2</v>
      </c>
      <c r="Z159" s="269"/>
      <c r="AA159" s="269"/>
    </row>
    <row r="160" spans="3:27" x14ac:dyDescent="0.25">
      <c r="F160" t="s">
        <v>193</v>
      </c>
      <c r="G160" t="s">
        <v>269</v>
      </c>
      <c r="H160" s="269"/>
      <c r="I160" s="269"/>
      <c r="J160" s="287">
        <f t="shared" ref="J160:K160" si="162">J55 * (1 - J$114)</f>
        <v>4.288771633873309E-2</v>
      </c>
      <c r="K160" s="287">
        <f t="shared" si="162"/>
        <v>4.288771633873309E-2</v>
      </c>
      <c r="L160" s="287">
        <f t="shared" ref="L160:M160" si="163">L55 * (1 - L$114)</f>
        <v>3.7150781258594549E-2</v>
      </c>
      <c r="M160" s="287">
        <f t="shared" si="163"/>
        <v>3.7150781258594549E-2</v>
      </c>
      <c r="N160" s="287">
        <f t="shared" ref="N160:P160" si="164">N55 * (1 - N$114)</f>
        <v>3.1581640452520321E-2</v>
      </c>
      <c r="O160" s="287">
        <f t="shared" si="164"/>
        <v>2.8219491860135459E-2</v>
      </c>
      <c r="P160" s="287">
        <f t="shared" si="164"/>
        <v>2.5436491975527189E-2</v>
      </c>
      <c r="Q160" s="287">
        <f t="shared" ref="Q160:S160" si="165">Q55 * (1 - Q$114)</f>
        <v>3.1021078061721375E-2</v>
      </c>
      <c r="R160" s="287">
        <f t="shared" si="165"/>
        <v>-2.5899591005067998E-2</v>
      </c>
      <c r="S160" s="287">
        <f t="shared" si="165"/>
        <v>-2.5154797571712607E-2</v>
      </c>
      <c r="T160" s="287">
        <f t="shared" ref="T160:U160" si="166">T55 * (1 - T$114)</f>
        <v>-2.5899591005067998E-2</v>
      </c>
      <c r="U160" s="287">
        <f t="shared" si="166"/>
        <v>-2.5899591005067998E-2</v>
      </c>
      <c r="V160" s="287">
        <f t="shared" ref="V160:W160" si="167">V55 * (1 - V$114)</f>
        <v>-2.5154797571712607E-2</v>
      </c>
      <c r="W160" s="287">
        <f t="shared" si="167"/>
        <v>-2.5154797571712607E-2</v>
      </c>
      <c r="X160" s="287">
        <f t="shared" ref="X160:Y160" si="168">X55 * (1 - X$114)</f>
        <v>-2.4890516030844568E-2</v>
      </c>
      <c r="Y160" s="287">
        <f t="shared" si="168"/>
        <v>-2.4890516030844568E-2</v>
      </c>
      <c r="Z160" s="269"/>
      <c r="AA160" s="269"/>
    </row>
    <row r="161" spans="4:27" x14ac:dyDescent="0.25">
      <c r="F161" t="s">
        <v>194</v>
      </c>
      <c r="G161" t="s">
        <v>269</v>
      </c>
      <c r="H161" s="269"/>
      <c r="I161" s="269"/>
      <c r="J161" s="287">
        <f t="shared" ref="J161:K161" si="169">J56 * (1 - J$115)</f>
        <v>7.4218250121980842E-2</v>
      </c>
      <c r="K161" s="287">
        <f t="shared" si="169"/>
        <v>7.4218250121980842E-2</v>
      </c>
      <c r="L161" s="287">
        <f t="shared" ref="L161:M161" si="170">L56 * (1 - L$115)</f>
        <v>6.4290342575018505E-2</v>
      </c>
      <c r="M161" s="287">
        <f t="shared" si="170"/>
        <v>6.4290342575018505E-2</v>
      </c>
      <c r="N161" s="287">
        <f t="shared" ref="N161:P161" si="171">N56 * (1 - N$115)</f>
        <v>5.4652807154731836E-2</v>
      </c>
      <c r="O161" s="287">
        <f t="shared" si="171"/>
        <v>4.8834526153103269E-2</v>
      </c>
      <c r="P161" s="287">
        <f t="shared" si="171"/>
        <v>3.2911028291960236E-2</v>
      </c>
      <c r="Q161" s="287">
        <f t="shared" ref="Q161:S161" si="172">Q56 * (1 - Q$115)</f>
        <v>5.066100352944742E-2</v>
      </c>
      <c r="R161" s="287">
        <f t="shared" si="172"/>
        <v>-4.4819880547827852E-2</v>
      </c>
      <c r="S161" s="287">
        <f t="shared" si="172"/>
        <v>-4.3530997155450613E-2</v>
      </c>
      <c r="T161" s="287">
        <f t="shared" ref="T161:U161" si="173">T56 * (1 - T$115)</f>
        <v>-4.4819880547827852E-2</v>
      </c>
      <c r="U161" s="287">
        <f t="shared" si="173"/>
        <v>-4.4819880547827852E-2</v>
      </c>
      <c r="V161" s="287">
        <f t="shared" ref="V161:W161" si="174">V56 * (1 - V$115)</f>
        <v>-4.3530997155450613E-2</v>
      </c>
      <c r="W161" s="287">
        <f t="shared" si="174"/>
        <v>-4.3530997155450613E-2</v>
      </c>
      <c r="X161" s="287">
        <f t="shared" ref="X161:Y161" si="175">X56 * (1 - X$115)</f>
        <v>-4.0255771023808666E-2</v>
      </c>
      <c r="Y161" s="287">
        <f t="shared" si="175"/>
        <v>-4.0255771023808666E-2</v>
      </c>
      <c r="Z161" s="269"/>
      <c r="AA161" s="269"/>
    </row>
    <row r="162" spans="4:27" x14ac:dyDescent="0.25">
      <c r="F162" t="s">
        <v>195</v>
      </c>
      <c r="G162" t="s">
        <v>269</v>
      </c>
      <c r="H162" s="269"/>
      <c r="I162" s="269"/>
      <c r="J162" s="287">
        <f t="shared" ref="J162:K162" si="176">J57 * (1 - J$116)</f>
        <v>0.11939596650254747</v>
      </c>
      <c r="K162" s="287">
        <f t="shared" si="176"/>
        <v>0.11939596650254747</v>
      </c>
      <c r="L162" s="287">
        <f t="shared" ref="L162:M162" si="177">L57 * (1 - L$116)</f>
        <v>0.10342479883193643</v>
      </c>
      <c r="M162" s="287">
        <f t="shared" si="177"/>
        <v>0.10342479883193643</v>
      </c>
      <c r="N162" s="287">
        <f t="shared" ref="N162:P162" si="178">N57 * (1 - N$116)</f>
        <v>8.792075697812736E-2</v>
      </c>
      <c r="O162" s="287">
        <f t="shared" si="178"/>
        <v>7.8560804642534482E-2</v>
      </c>
      <c r="P162" s="287">
        <f t="shared" si="178"/>
        <v>0</v>
      </c>
      <c r="Q162" s="287">
        <f t="shared" ref="Q162:S162" si="179">Q57 * (1 - Q$116)</f>
        <v>8.149908506931941E-2</v>
      </c>
      <c r="R162" s="287">
        <f t="shared" si="179"/>
        <v>-7.2102386511963351E-2</v>
      </c>
      <c r="S162" s="287">
        <f t="shared" si="179"/>
        <v>-7.0028941259764013E-2</v>
      </c>
      <c r="T162" s="287">
        <f t="shared" ref="T162:U162" si="180">T57 * (1 - T$116)</f>
        <v>-7.2102386511963351E-2</v>
      </c>
      <c r="U162" s="287">
        <f t="shared" si="180"/>
        <v>-7.2102386511963351E-2</v>
      </c>
      <c r="V162" s="287">
        <f t="shared" ref="V162:W162" si="181">V57 * (1 - V$116)</f>
        <v>-7.0028941259764013E-2</v>
      </c>
      <c r="W162" s="287">
        <f t="shared" si="181"/>
        <v>-7.0028941259764013E-2</v>
      </c>
      <c r="X162" s="287">
        <f t="shared" ref="X162:Y162" si="182">X57 * (1 - X$116)</f>
        <v>-4.4927659916013177E-2</v>
      </c>
      <c r="Y162" s="287">
        <f t="shared" si="182"/>
        <v>-4.4927659916013177E-2</v>
      </c>
      <c r="Z162" s="269"/>
      <c r="AA162" s="269"/>
    </row>
    <row r="163" spans="4:27" x14ac:dyDescent="0.25">
      <c r="F163" t="s">
        <v>196</v>
      </c>
      <c r="G163" t="s">
        <v>269</v>
      </c>
      <c r="H163" s="269"/>
      <c r="I163" s="269"/>
      <c r="J163" s="287">
        <f t="shared" ref="J163:K163" si="183">J58 * (1 - J$117)</f>
        <v>7.1772035242776326E-3</v>
      </c>
      <c r="K163" s="287">
        <f t="shared" si="183"/>
        <v>7.1772035242776326E-3</v>
      </c>
      <c r="L163" s="287">
        <f t="shared" ref="L163:M163" si="184">L58 * (1 - L$117)</f>
        <v>6.2171349034512097E-3</v>
      </c>
      <c r="M163" s="287">
        <f t="shared" si="184"/>
        <v>6.2171349034512097E-3</v>
      </c>
      <c r="N163" s="287">
        <f t="shared" ref="N163:P163" si="185">N58 * (1 - N$117)</f>
        <v>5.2851464360574455E-3</v>
      </c>
      <c r="O163" s="287">
        <f t="shared" si="185"/>
        <v>4.7224952439113973E-3</v>
      </c>
      <c r="P163" s="287">
        <f t="shared" si="185"/>
        <v>0</v>
      </c>
      <c r="Q163" s="287">
        <f t="shared" ref="Q163:S163" si="186">Q58 * (1 - Q$117)</f>
        <v>5.1913370493546582E-3</v>
      </c>
      <c r="R163" s="287">
        <f t="shared" si="186"/>
        <v>-4.3342628544445006E-3</v>
      </c>
      <c r="S163" s="287">
        <f t="shared" si="186"/>
        <v>-4.2096226424892299E-3</v>
      </c>
      <c r="T163" s="287">
        <f t="shared" ref="T163:U163" si="187">T58 * (1 - T$117)</f>
        <v>-4.3342628544445006E-3</v>
      </c>
      <c r="U163" s="287">
        <f t="shared" si="187"/>
        <v>-4.3342628544445006E-3</v>
      </c>
      <c r="V163" s="287">
        <f t="shared" ref="V163:W163" si="188">V58 * (1 - V$117)</f>
        <v>-4.2096226424892299E-3</v>
      </c>
      <c r="W163" s="287">
        <f t="shared" si="188"/>
        <v>-4.2096226424892299E-3</v>
      </c>
      <c r="X163" s="287">
        <f t="shared" ref="X163:Y163" si="189">X58 * (1 - X$117)</f>
        <v>-2.7007190320778259E-3</v>
      </c>
      <c r="Y163" s="287">
        <f t="shared" si="189"/>
        <v>-2.7007190320778259E-3</v>
      </c>
      <c r="Z163" s="269"/>
      <c r="AA163" s="269"/>
    </row>
    <row r="164" spans="4:27" x14ac:dyDescent="0.25">
      <c r="F164" t="s">
        <v>197</v>
      </c>
      <c r="G164" t="s">
        <v>269</v>
      </c>
      <c r="H164" s="269"/>
      <c r="I164" s="269"/>
      <c r="J164" s="287">
        <f t="shared" ref="J164:K164" si="190">J59 * (1 - J$118)</f>
        <v>0.1432736309123161</v>
      </c>
      <c r="K164" s="287">
        <f t="shared" si="190"/>
        <v>0.1432736309123161</v>
      </c>
      <c r="L164" s="287">
        <f t="shared" ref="L164:M164" si="191">L59 * (1 - L$118)</f>
        <v>0.12410843422178119</v>
      </c>
      <c r="M164" s="287">
        <f t="shared" si="191"/>
        <v>0.12410843422178119</v>
      </c>
      <c r="N164" s="287">
        <f t="shared" ref="N164:P164" si="192">N59 * (1 - N$118)</f>
        <v>8.4403026023810557E-2</v>
      </c>
      <c r="O164" s="287">
        <f t="shared" si="192"/>
        <v>0</v>
      </c>
      <c r="P164" s="287">
        <f t="shared" si="192"/>
        <v>0</v>
      </c>
      <c r="Q164" s="287">
        <f t="shared" ref="Q164:S164" si="193">Q59 * (1 - Q$118)</f>
        <v>9.7797858470068028E-2</v>
      </c>
      <c r="R164" s="287">
        <f t="shared" si="193"/>
        <v>-8.6521940527963997E-2</v>
      </c>
      <c r="S164" s="287">
        <f t="shared" si="193"/>
        <v>-8.4033832776232179E-2</v>
      </c>
      <c r="T164" s="287">
        <f t="shared" ref="T164:U164" si="194">T59 * (1 - T$118)</f>
        <v>-8.6521940527963997E-2</v>
      </c>
      <c r="U164" s="287">
        <f t="shared" si="194"/>
        <v>-8.6521940527963997E-2</v>
      </c>
      <c r="V164" s="287">
        <f t="shared" ref="V164:W164" si="195">V59 * (1 - V$118)</f>
        <v>-8.4033832776232179E-2</v>
      </c>
      <c r="W164" s="287">
        <f t="shared" si="195"/>
        <v>-8.4033832776232179E-2</v>
      </c>
      <c r="X164" s="287">
        <f t="shared" ref="X164:Y164" si="196">X59 * (1 - X$118)</f>
        <v>0</v>
      </c>
      <c r="Y164" s="287">
        <f t="shared" si="196"/>
        <v>0</v>
      </c>
      <c r="Z164" s="269"/>
      <c r="AA164" s="269"/>
    </row>
    <row r="165" spans="4:27" x14ac:dyDescent="0.25">
      <c r="F165" t="s">
        <v>198</v>
      </c>
      <c r="G165" t="s">
        <v>269</v>
      </c>
      <c r="H165" s="269"/>
      <c r="I165" s="269"/>
      <c r="J165" s="287">
        <f t="shared" ref="J165:K165" si="197">J60 * (1 - J$119)</f>
        <v>3.6650243967416458E-2</v>
      </c>
      <c r="K165" s="287">
        <f t="shared" si="197"/>
        <v>3.6650243967416458E-2</v>
      </c>
      <c r="L165" s="287">
        <f t="shared" ref="L165:M165" si="198">L60 * (1 - L$119)</f>
        <v>3.1747673062226631E-2</v>
      </c>
      <c r="M165" s="287">
        <f t="shared" si="198"/>
        <v>3.1747673062226631E-2</v>
      </c>
      <c r="N165" s="287">
        <f t="shared" ref="N165:P165" si="199">N60 * (1 - N$119)</f>
        <v>0</v>
      </c>
      <c r="O165" s="287">
        <f t="shared" si="199"/>
        <v>0</v>
      </c>
      <c r="P165" s="287">
        <f t="shared" si="199"/>
        <v>0</v>
      </c>
      <c r="Q165" s="287">
        <f t="shared" ref="Q165:S165" si="200">Q60 * (1 - Q$119)</f>
        <v>2.5017271842663582E-2</v>
      </c>
      <c r="R165" s="287">
        <f t="shared" si="200"/>
        <v>-2.2132825200925296E-2</v>
      </c>
      <c r="S165" s="287">
        <f t="shared" si="200"/>
        <v>0</v>
      </c>
      <c r="T165" s="287">
        <f t="shared" ref="T165:U165" si="201">T60 * (1 - T$119)</f>
        <v>-2.2132825200925296E-2</v>
      </c>
      <c r="U165" s="287">
        <f t="shared" si="201"/>
        <v>-2.2132825200925296E-2</v>
      </c>
      <c r="V165" s="287">
        <f t="shared" ref="V165:W165" si="202">V60 * (1 - V$119)</f>
        <v>0</v>
      </c>
      <c r="W165" s="287">
        <f t="shared" si="202"/>
        <v>0</v>
      </c>
      <c r="X165" s="287">
        <f t="shared" ref="X165:Y165" si="203">X60 * (1 - X$119)</f>
        <v>0</v>
      </c>
      <c r="Y165" s="287">
        <f t="shared" si="203"/>
        <v>0</v>
      </c>
      <c r="Z165" s="269"/>
      <c r="AA165" s="269"/>
    </row>
    <row r="166" spans="4:27" x14ac:dyDescent="0.25">
      <c r="F166" t="s">
        <v>199</v>
      </c>
      <c r="G166" t="s">
        <v>269</v>
      </c>
      <c r="H166" s="269"/>
      <c r="I166" s="269"/>
      <c r="J166" s="287">
        <f t="shared" ref="J166:K166" si="204">J61 * (1 - J$120)</f>
        <v>0</v>
      </c>
      <c r="K166" s="287">
        <f t="shared" si="204"/>
        <v>0</v>
      </c>
      <c r="L166" s="287">
        <f t="shared" ref="L166:M166" si="205">L61 * (1 - L$120)</f>
        <v>0</v>
      </c>
      <c r="M166" s="287">
        <f t="shared" si="205"/>
        <v>0</v>
      </c>
      <c r="N166" s="287">
        <f t="shared" ref="N166:P166" si="206">N61 * (1 - N$120)</f>
        <v>0</v>
      </c>
      <c r="O166" s="287">
        <f t="shared" si="206"/>
        <v>0</v>
      </c>
      <c r="P166" s="287">
        <f t="shared" si="206"/>
        <v>0</v>
      </c>
      <c r="Q166" s="287">
        <f t="shared" ref="Q166:S166" si="207">Q61 * (1 - Q$120)</f>
        <v>1.0498945701696665E-2</v>
      </c>
      <c r="R166" s="287">
        <f t="shared" si="207"/>
        <v>0</v>
      </c>
      <c r="S166" s="287">
        <f t="shared" si="207"/>
        <v>0</v>
      </c>
      <c r="T166" s="287">
        <f t="shared" ref="T166:U166" si="208">T61 * (1 - T$120)</f>
        <v>0</v>
      </c>
      <c r="U166" s="287">
        <f t="shared" si="208"/>
        <v>0</v>
      </c>
      <c r="V166" s="287">
        <f t="shared" ref="V166:W166" si="209">V61 * (1 - V$120)</f>
        <v>0</v>
      </c>
      <c r="W166" s="287">
        <f t="shared" si="209"/>
        <v>0</v>
      </c>
      <c r="X166" s="287">
        <f t="shared" ref="X166:Y166" si="210">X61 * (1 - X$120)</f>
        <v>0</v>
      </c>
      <c r="Y166" s="287">
        <f t="shared" si="210"/>
        <v>0</v>
      </c>
      <c r="Z166" s="269"/>
      <c r="AA166" s="269"/>
    </row>
    <row r="167" spans="4:27" x14ac:dyDescent="0.25">
      <c r="D167"/>
      <c r="F167" s="23" t="s">
        <v>376</v>
      </c>
      <c r="G167" s="23" t="s">
        <v>269</v>
      </c>
      <c r="H167" s="267"/>
      <c r="I167" s="267"/>
      <c r="J167" s="285"/>
      <c r="K167" s="285"/>
      <c r="L167" s="285"/>
      <c r="M167" s="285"/>
      <c r="N167" s="285"/>
      <c r="O167" s="285"/>
      <c r="P167" s="285"/>
      <c r="Q167" s="285"/>
      <c r="R167" s="285"/>
      <c r="S167" s="285"/>
      <c r="T167" s="285"/>
      <c r="U167" s="285"/>
      <c r="V167" s="285"/>
      <c r="W167" s="285"/>
      <c r="X167" s="285"/>
      <c r="Y167" s="285"/>
      <c r="Z167" s="269"/>
      <c r="AA167" s="269"/>
    </row>
    <row r="168" spans="4:27" x14ac:dyDescent="0.25">
      <c r="D168"/>
      <c r="F168" s="37" t="s">
        <v>377</v>
      </c>
      <c r="G168" s="37" t="s">
        <v>269</v>
      </c>
      <c r="H168" s="273"/>
      <c r="I168" s="273"/>
      <c r="J168" s="274"/>
      <c r="K168" s="274"/>
      <c r="L168" s="274"/>
      <c r="M168" s="274"/>
      <c r="N168" s="274"/>
      <c r="O168" s="274"/>
      <c r="P168" s="274"/>
      <c r="Q168" s="274"/>
      <c r="R168" s="274"/>
      <c r="S168" s="274"/>
      <c r="T168" s="274"/>
      <c r="U168" s="274"/>
      <c r="V168" s="274"/>
      <c r="W168" s="274"/>
      <c r="X168" s="274"/>
      <c r="Y168" s="274"/>
      <c r="Z168" s="269"/>
      <c r="AA168" s="269"/>
    </row>
    <row r="169" spans="4:27" x14ac:dyDescent="0.25">
      <c r="D169"/>
      <c r="J169" s="89"/>
      <c r="K169" s="89"/>
      <c r="L169" s="89"/>
      <c r="M169" s="89"/>
      <c r="N169" s="89"/>
      <c r="O169" s="89"/>
      <c r="P169" s="89"/>
      <c r="Q169" s="89"/>
      <c r="R169" s="89"/>
      <c r="S169" s="89"/>
      <c r="T169" s="89"/>
      <c r="U169" s="89"/>
      <c r="V169" s="89"/>
      <c r="W169" s="89"/>
      <c r="X169" s="89"/>
      <c r="Y169" s="89"/>
    </row>
    <row r="170" spans="4:27" x14ac:dyDescent="0.25">
      <c r="E170" s="32" t="s">
        <v>622</v>
      </c>
      <c r="J170" s="89"/>
      <c r="K170" s="89"/>
      <c r="L170" s="89"/>
      <c r="M170" s="89"/>
      <c r="N170" s="89"/>
      <c r="O170" s="89"/>
      <c r="P170" s="89"/>
      <c r="Q170" s="89"/>
      <c r="R170" s="89"/>
      <c r="S170" s="89"/>
      <c r="T170" s="89"/>
      <c r="U170" s="89"/>
      <c r="V170" s="89"/>
      <c r="W170" s="89"/>
      <c r="X170" s="89"/>
      <c r="Y170" s="89"/>
    </row>
    <row r="171" spans="4:27" x14ac:dyDescent="0.25">
      <c r="F171" s="23" t="s">
        <v>189</v>
      </c>
      <c r="G171" s="23" t="s">
        <v>269</v>
      </c>
      <c r="H171" s="267"/>
      <c r="I171" s="267"/>
      <c r="J171" s="286">
        <f t="shared" ref="J171:K171" si="211">J66 * (1 - J$112)</f>
        <v>2.746679637175034E-2</v>
      </c>
      <c r="K171" s="286">
        <f t="shared" si="211"/>
        <v>2.746679637175034E-2</v>
      </c>
      <c r="L171" s="286">
        <f t="shared" ref="L171:M171" si="212">L66 * (1 - L$112)</f>
        <v>2.3792662118493169E-2</v>
      </c>
      <c r="M171" s="286">
        <f t="shared" si="212"/>
        <v>2.3792662118493169E-2</v>
      </c>
      <c r="N171" s="286">
        <f t="shared" ref="N171:P171" si="213">N66 * (1 - N$112)</f>
        <v>2.0225989198025769E-2</v>
      </c>
      <c r="O171" s="286">
        <f t="shared" si="213"/>
        <v>1.8072751426417014E-2</v>
      </c>
      <c r="P171" s="286">
        <f t="shared" si="213"/>
        <v>1.6290420781217688E-2</v>
      </c>
      <c r="Q171" s="286">
        <f t="shared" ref="Q171:S171" si="214">Q66 * (1 - Q$112)</f>
        <v>3.5045328455294372E-2</v>
      </c>
      <c r="R171" s="286">
        <f t="shared" si="214"/>
        <v>-1.6587005627188255E-2</v>
      </c>
      <c r="S171" s="286">
        <f t="shared" si="214"/>
        <v>-1.6110013814161502E-2</v>
      </c>
      <c r="T171" s="286">
        <f t="shared" ref="T171:U171" si="215">T66 * (1 - T$112)</f>
        <v>-1.6587005627188255E-2</v>
      </c>
      <c r="U171" s="286">
        <f t="shared" si="215"/>
        <v>-1.6587005627188255E-2</v>
      </c>
      <c r="V171" s="286">
        <f t="shared" ref="V171:W171" si="216">V66 * (1 - V$112)</f>
        <v>-1.6110013814161502E-2</v>
      </c>
      <c r="W171" s="286">
        <f t="shared" si="216"/>
        <v>-1.6110013814161502E-2</v>
      </c>
      <c r="X171" s="286">
        <f t="shared" ref="X171:Y171" si="217">X66 * (1 - X$112)</f>
        <v>-1.5940758654700401E-2</v>
      </c>
      <c r="Y171" s="286">
        <f t="shared" si="217"/>
        <v>-1.5940758654700401E-2</v>
      </c>
      <c r="Z171" s="269"/>
      <c r="AA171" s="269"/>
    </row>
    <row r="172" spans="4:27" x14ac:dyDescent="0.25">
      <c r="F172" t="s">
        <v>191</v>
      </c>
      <c r="G172" t="s">
        <v>269</v>
      </c>
      <c r="H172" s="269"/>
      <c r="I172" s="269"/>
      <c r="J172" s="287">
        <f t="shared" ref="J172:K172" si="218">J67 * (1 - J$112)</f>
        <v>0</v>
      </c>
      <c r="K172" s="287">
        <f t="shared" si="218"/>
        <v>0</v>
      </c>
      <c r="L172" s="287">
        <f t="shared" ref="L172:M172" si="219">L67 * (1 - L$112)</f>
        <v>0</v>
      </c>
      <c r="M172" s="287">
        <f t="shared" si="219"/>
        <v>0</v>
      </c>
      <c r="N172" s="287">
        <f t="shared" ref="N172:P172" si="220">N67 * (1 - N$112)</f>
        <v>0</v>
      </c>
      <c r="O172" s="287">
        <f t="shared" si="220"/>
        <v>0</v>
      </c>
      <c r="P172" s="287">
        <f t="shared" si="220"/>
        <v>0</v>
      </c>
      <c r="Q172" s="287">
        <f t="shared" ref="Q172:S172" si="221">Q67 * (1 - Q$112)</f>
        <v>0</v>
      </c>
      <c r="R172" s="287">
        <f t="shared" si="221"/>
        <v>0</v>
      </c>
      <c r="S172" s="287">
        <f t="shared" si="221"/>
        <v>0</v>
      </c>
      <c r="T172" s="287">
        <f t="shared" ref="T172:U172" si="222">T67 * (1 - T$112)</f>
        <v>0</v>
      </c>
      <c r="U172" s="287">
        <f t="shared" si="222"/>
        <v>0</v>
      </c>
      <c r="V172" s="287">
        <f t="shared" ref="V172:W172" si="223">V67 * (1 - V$112)</f>
        <v>0</v>
      </c>
      <c r="W172" s="287">
        <f t="shared" si="223"/>
        <v>0</v>
      </c>
      <c r="X172" s="287">
        <f t="shared" ref="X172:Y172" si="224">X67 * (1 - X$112)</f>
        <v>0</v>
      </c>
      <c r="Y172" s="287">
        <f t="shared" si="224"/>
        <v>0</v>
      </c>
      <c r="Z172" s="269"/>
      <c r="AA172" s="269"/>
    </row>
    <row r="173" spans="4:27" x14ac:dyDescent="0.25">
      <c r="F173" t="s">
        <v>192</v>
      </c>
      <c r="G173" t="s">
        <v>269</v>
      </c>
      <c r="H173" s="269"/>
      <c r="I173" s="269"/>
      <c r="J173" s="287">
        <f t="shared" ref="J173:K173" si="225">J68 * (1 - J$113)</f>
        <v>5.2114738044284743E-2</v>
      </c>
      <c r="K173" s="287">
        <f t="shared" si="225"/>
        <v>5.2114738044284743E-2</v>
      </c>
      <c r="L173" s="287">
        <f t="shared" ref="L173:M173" si="226">L68 * (1 - L$113)</f>
        <v>4.5143537560745087E-2</v>
      </c>
      <c r="M173" s="287">
        <f t="shared" si="226"/>
        <v>4.5143537560745087E-2</v>
      </c>
      <c r="N173" s="287">
        <f t="shared" ref="N173:P173" si="227">N68 * (1 - N$113)</f>
        <v>3.8376231231166132E-2</v>
      </c>
      <c r="O173" s="287">
        <f t="shared" si="227"/>
        <v>3.4290737571997944E-2</v>
      </c>
      <c r="P173" s="287">
        <f t="shared" si="227"/>
        <v>3.0445083802872357E-2</v>
      </c>
      <c r="Q173" s="287">
        <f t="shared" ref="Q173:S173" si="228">Q68 * (1 - Q$113)</f>
        <v>3.7695067377086514E-2</v>
      </c>
      <c r="R173" s="287">
        <f t="shared" si="228"/>
        <v>-3.1471724678057408E-2</v>
      </c>
      <c r="S173" s="287">
        <f t="shared" si="228"/>
        <v>-3.0566693634439795E-2</v>
      </c>
      <c r="T173" s="287">
        <f t="shared" ref="T173:U173" si="229">T68 * (1 - T$113)</f>
        <v>-3.1471724678057408E-2</v>
      </c>
      <c r="U173" s="287">
        <f t="shared" si="229"/>
        <v>-3.1471724678057408E-2</v>
      </c>
      <c r="V173" s="287">
        <f t="shared" ref="V173:W173" si="230">V68 * (1 - V$113)</f>
        <v>-3.0566693634439795E-2</v>
      </c>
      <c r="W173" s="287">
        <f t="shared" si="230"/>
        <v>-3.0566693634439795E-2</v>
      </c>
      <c r="X173" s="287">
        <f t="shared" ref="X173:Y173" si="231">X68 * (1 - X$113)</f>
        <v>-3.0245553586704523E-2</v>
      </c>
      <c r="Y173" s="287">
        <f t="shared" si="231"/>
        <v>-3.0245553586704523E-2</v>
      </c>
      <c r="Z173" s="269"/>
      <c r="AA173" s="269"/>
    </row>
    <row r="174" spans="4:27" x14ac:dyDescent="0.25">
      <c r="F174" t="s">
        <v>193</v>
      </c>
      <c r="G174" t="s">
        <v>269</v>
      </c>
      <c r="H174" s="269"/>
      <c r="I174" s="269"/>
      <c r="J174" s="287">
        <f t="shared" ref="J174:K174" si="232">J69 * (1 - J$114)</f>
        <v>2.7229464347153221E-2</v>
      </c>
      <c r="K174" s="287">
        <f t="shared" si="232"/>
        <v>2.7229464347153221E-2</v>
      </c>
      <c r="L174" s="287">
        <f t="shared" ref="L174:M174" si="233">L69 * (1 - L$114)</f>
        <v>2.3587077142556735E-2</v>
      </c>
      <c r="M174" s="287">
        <f t="shared" si="233"/>
        <v>2.3587077142556735E-2</v>
      </c>
      <c r="N174" s="287">
        <f t="shared" ref="N174:P174" si="234">N69 * (1 - N$114)</f>
        <v>2.0051222730874761E-2</v>
      </c>
      <c r="O174" s="287">
        <f t="shared" si="234"/>
        <v>1.7916590415572538E-2</v>
      </c>
      <c r="P174" s="287">
        <f t="shared" si="234"/>
        <v>1.6149660333831774E-2</v>
      </c>
      <c r="Q174" s="287">
        <f t="shared" ref="Q174:S174" si="235">Q69 * (1 - Q$114)</f>
        <v>1.9695320973036713E-2</v>
      </c>
      <c r="R174" s="287">
        <f t="shared" si="235"/>
        <v>-1.6443682482609471E-2</v>
      </c>
      <c r="S174" s="287">
        <f t="shared" si="235"/>
        <v>-1.5970812207135546E-2</v>
      </c>
      <c r="T174" s="287">
        <f t="shared" ref="T174:U174" si="236">T69 * (1 - T$114)</f>
        <v>-1.6443682482609471E-2</v>
      </c>
      <c r="U174" s="287">
        <f t="shared" si="236"/>
        <v>-1.6443682482609471E-2</v>
      </c>
      <c r="V174" s="287">
        <f t="shared" ref="V174:W174" si="237">V69 * (1 - V$114)</f>
        <v>-1.5970812207135546E-2</v>
      </c>
      <c r="W174" s="287">
        <f t="shared" si="237"/>
        <v>-1.5970812207135546E-2</v>
      </c>
      <c r="X174" s="287">
        <f t="shared" ref="X174:Y174" si="238">X69 * (1 - X$114)</f>
        <v>-1.5803019528741569E-2</v>
      </c>
      <c r="Y174" s="287">
        <f t="shared" si="238"/>
        <v>-1.5803019528741569E-2</v>
      </c>
      <c r="Z174" s="269"/>
      <c r="AA174" s="269"/>
    </row>
    <row r="175" spans="4:27" x14ac:dyDescent="0.25">
      <c r="F175" t="s">
        <v>194</v>
      </c>
      <c r="G175" t="s">
        <v>269</v>
      </c>
      <c r="H175" s="269"/>
      <c r="I175" s="269"/>
      <c r="J175" s="287">
        <f t="shared" ref="J175:K175" si="239">J70 * (1 - J$115)</f>
        <v>4.7121259141966167E-2</v>
      </c>
      <c r="K175" s="287">
        <f t="shared" si="239"/>
        <v>4.7121259141966167E-2</v>
      </c>
      <c r="L175" s="287">
        <f t="shared" ref="L175:M175" si="240">L70 * (1 - L$115)</f>
        <v>4.0818018315228542E-2</v>
      </c>
      <c r="M175" s="287">
        <f t="shared" si="240"/>
        <v>4.0818018315228542E-2</v>
      </c>
      <c r="N175" s="287">
        <f t="shared" ref="N175:P175" si="241">N70 * (1 - N$115)</f>
        <v>3.4699135112204765E-2</v>
      </c>
      <c r="O175" s="287">
        <f t="shared" si="241"/>
        <v>3.1005101281065983E-2</v>
      </c>
      <c r="P175" s="287">
        <f t="shared" si="241"/>
        <v>2.2357908181907478E-2</v>
      </c>
      <c r="Q175" s="287">
        <f t="shared" ref="Q175:S175" si="242">Q70 * (1 - Q$115)</f>
        <v>3.2164734034818565E-2</v>
      </c>
      <c r="R175" s="287">
        <f t="shared" si="242"/>
        <v>-2.8456197802225917E-2</v>
      </c>
      <c r="S175" s="287">
        <f t="shared" si="242"/>
        <v>-2.7637884136299199E-2</v>
      </c>
      <c r="T175" s="287">
        <f t="shared" ref="T175:U175" si="243">T70 * (1 - T$115)</f>
        <v>-2.8456197802225917E-2</v>
      </c>
      <c r="U175" s="287">
        <f t="shared" si="243"/>
        <v>-2.8456197802225917E-2</v>
      </c>
      <c r="V175" s="287">
        <f t="shared" ref="V175:W175" si="244">V70 * (1 - V$115)</f>
        <v>-2.7637884136299199E-2</v>
      </c>
      <c r="W175" s="287">
        <f t="shared" si="244"/>
        <v>-2.7637884136299199E-2</v>
      </c>
      <c r="X175" s="287">
        <f t="shared" ref="X175:Y175" si="245">X70 * (1 - X$115)</f>
        <v>-2.734751477097036E-2</v>
      </c>
      <c r="Y175" s="287">
        <f t="shared" si="245"/>
        <v>-2.734751477097036E-2</v>
      </c>
      <c r="Z175" s="269"/>
      <c r="AA175" s="269"/>
    </row>
    <row r="176" spans="4:27" x14ac:dyDescent="0.25">
      <c r="F176" t="s">
        <v>195</v>
      </c>
      <c r="G176" t="s">
        <v>269</v>
      </c>
      <c r="H176" s="269"/>
      <c r="I176" s="269"/>
      <c r="J176" s="287">
        <f t="shared" ref="J176:K176" si="246">J71 * (1 - J$116)</f>
        <v>7.5804647358639385E-2</v>
      </c>
      <c r="K176" s="287">
        <f t="shared" si="246"/>
        <v>7.5804647358639385E-2</v>
      </c>
      <c r="L176" s="287">
        <f t="shared" ref="L176:M176" si="247">L71 * (1 - L$116)</f>
        <v>6.5664533176888196E-2</v>
      </c>
      <c r="M176" s="287">
        <f t="shared" si="247"/>
        <v>6.5664533176888196E-2</v>
      </c>
      <c r="N176" s="287">
        <f t="shared" ref="N176:P176" si="248">N71 * (1 - N$116)</f>
        <v>5.5820997756145935E-2</v>
      </c>
      <c r="O176" s="287">
        <f t="shared" si="248"/>
        <v>4.9878352398204519E-2</v>
      </c>
      <c r="P176" s="287">
        <f t="shared" si="248"/>
        <v>0</v>
      </c>
      <c r="Q176" s="287">
        <f t="shared" ref="Q176:S176" si="249">Q71 * (1 - Q$116)</f>
        <v>5.1743870288948959E-2</v>
      </c>
      <c r="R176" s="287">
        <f t="shared" si="249"/>
        <v>-4.5777894709190872E-2</v>
      </c>
      <c r="S176" s="287">
        <f t="shared" si="249"/>
        <v>-4.4461461744455318E-2</v>
      </c>
      <c r="T176" s="287">
        <f t="shared" ref="T176:U176" si="250">T71 * (1 - T$116)</f>
        <v>-4.5777894709190872E-2</v>
      </c>
      <c r="U176" s="287">
        <f t="shared" si="250"/>
        <v>-4.5777894709190872E-2</v>
      </c>
      <c r="V176" s="287">
        <f t="shared" ref="V176:W176" si="251">V71 * (1 - V$116)</f>
        <v>-4.4461461744455318E-2</v>
      </c>
      <c r="W176" s="287">
        <f t="shared" si="251"/>
        <v>-4.4461461744455318E-2</v>
      </c>
      <c r="X176" s="287">
        <f t="shared" ref="X176:Y176" si="252">X71 * (1 - X$116)</f>
        <v>-4.3994340369871744E-2</v>
      </c>
      <c r="Y176" s="287">
        <f t="shared" si="252"/>
        <v>-4.3994340369871744E-2</v>
      </c>
      <c r="Z176" s="269"/>
      <c r="AA176" s="269"/>
    </row>
    <row r="177" spans="3:27" x14ac:dyDescent="0.25">
      <c r="F177" t="s">
        <v>196</v>
      </c>
      <c r="G177" t="s">
        <v>269</v>
      </c>
      <c r="H177" s="269"/>
      <c r="I177" s="269"/>
      <c r="J177" s="287">
        <f t="shared" ref="J177:K177" si="253">J72 * (1 - J$117)</f>
        <v>4.5568154278263755E-3</v>
      </c>
      <c r="K177" s="287">
        <f t="shared" si="253"/>
        <v>4.5568154278263755E-3</v>
      </c>
      <c r="L177" s="287">
        <f t="shared" ref="L177:M177" si="254">L72 * (1 - L$117)</f>
        <v>3.9472666685700115E-3</v>
      </c>
      <c r="M177" s="287">
        <f t="shared" si="254"/>
        <v>3.9472666685700115E-3</v>
      </c>
      <c r="N177" s="287">
        <f t="shared" ref="N177:P177" si="255">N72 * (1 - N$117)</f>
        <v>3.3555460335886306E-3</v>
      </c>
      <c r="O177" s="287">
        <f t="shared" si="255"/>
        <v>2.9983180931821242E-3</v>
      </c>
      <c r="P177" s="287">
        <f t="shared" si="255"/>
        <v>0</v>
      </c>
      <c r="Q177" s="287">
        <f t="shared" ref="Q177:S177" si="256">Q72 * (1 - Q$117)</f>
        <v>3.2959863375097579E-3</v>
      </c>
      <c r="R177" s="287">
        <f t="shared" si="256"/>
        <v>-2.7518288671318281E-3</v>
      </c>
      <c r="S177" s="287">
        <f t="shared" si="256"/>
        <v>-2.6726946418246969E-3</v>
      </c>
      <c r="T177" s="287">
        <f t="shared" ref="T177:U177" si="257">T72 * (1 - T$117)</f>
        <v>-2.7518288671318281E-3</v>
      </c>
      <c r="U177" s="287">
        <f t="shared" si="257"/>
        <v>-2.7518288671318281E-3</v>
      </c>
      <c r="V177" s="287">
        <f t="shared" ref="V177:W177" si="258">V72 * (1 - V$117)</f>
        <v>-2.6726946418246969E-3</v>
      </c>
      <c r="W177" s="287">
        <f t="shared" si="258"/>
        <v>-2.6726946418246969E-3</v>
      </c>
      <c r="X177" s="287">
        <f t="shared" ref="X177:Y177" si="259">X72 * (1 - X$117)</f>
        <v>-2.6446147554253928E-3</v>
      </c>
      <c r="Y177" s="287">
        <f t="shared" si="259"/>
        <v>-2.6446147554253928E-3</v>
      </c>
      <c r="Z177" s="269"/>
      <c r="AA177" s="269"/>
    </row>
    <row r="178" spans="3:27" x14ac:dyDescent="0.25">
      <c r="F178" t="s">
        <v>197</v>
      </c>
      <c r="G178" t="s">
        <v>269</v>
      </c>
      <c r="H178" s="269"/>
      <c r="I178" s="269"/>
      <c r="J178" s="287">
        <f t="shared" ref="J178:K178" si="260">J73 * (1 - J$118)</f>
        <v>0.17464092900801556</v>
      </c>
      <c r="K178" s="287">
        <f t="shared" si="260"/>
        <v>0.17464092900801556</v>
      </c>
      <c r="L178" s="287">
        <f t="shared" ref="L178:M178" si="261">L73 * (1 - L$118)</f>
        <v>0.15127984202122208</v>
      </c>
      <c r="M178" s="287">
        <f t="shared" si="261"/>
        <v>0.15127984202122208</v>
      </c>
      <c r="N178" s="287">
        <f t="shared" ref="N178:P178" si="262">N73 * (1 - N$118)</f>
        <v>0.10288161737805786</v>
      </c>
      <c r="O178" s="287">
        <f t="shared" si="262"/>
        <v>0</v>
      </c>
      <c r="P178" s="287">
        <f t="shared" si="262"/>
        <v>0</v>
      </c>
      <c r="Q178" s="287">
        <f t="shared" ref="Q178:S178" si="263">Q73 * (1 - Q$118)</f>
        <v>0.11920901808274696</v>
      </c>
      <c r="R178" s="287">
        <f t="shared" si="263"/>
        <v>-0.10546443178108217</v>
      </c>
      <c r="S178" s="287">
        <f t="shared" si="263"/>
        <v>-0.1024315956166911</v>
      </c>
      <c r="T178" s="287">
        <f t="shared" ref="T178:U178" si="264">T73 * (1 - T$118)</f>
        <v>-0.10546443178108217</v>
      </c>
      <c r="U178" s="287">
        <f t="shared" si="264"/>
        <v>-0.10546443178108217</v>
      </c>
      <c r="V178" s="287">
        <f t="shared" ref="V178:W178" si="265">V73 * (1 - V$118)</f>
        <v>-0.1024315956166911</v>
      </c>
      <c r="W178" s="287">
        <f t="shared" si="265"/>
        <v>-0.1024315956166911</v>
      </c>
      <c r="X178" s="287">
        <f t="shared" ref="X178:Y178" si="266">X73 * (1 - X$118)</f>
        <v>0</v>
      </c>
      <c r="Y178" s="287">
        <f t="shared" si="266"/>
        <v>0</v>
      </c>
      <c r="Z178" s="269"/>
      <c r="AA178" s="269"/>
    </row>
    <row r="179" spans="3:27" x14ac:dyDescent="0.25">
      <c r="F179" t="s">
        <v>198</v>
      </c>
      <c r="G179" t="s">
        <v>269</v>
      </c>
      <c r="H179" s="269"/>
      <c r="I179" s="269"/>
      <c r="J179" s="287">
        <f t="shared" ref="J179:K179" si="267">J74 * (1 - J$119)</f>
        <v>7.9942259257553411E-2</v>
      </c>
      <c r="K179" s="287">
        <f t="shared" si="267"/>
        <v>7.9942259257553411E-2</v>
      </c>
      <c r="L179" s="287">
        <f t="shared" ref="L179:M179" si="268">L74 * (1 - L$119)</f>
        <v>6.9248671660165018E-2</v>
      </c>
      <c r="M179" s="287">
        <f t="shared" si="268"/>
        <v>6.9248671660165018E-2</v>
      </c>
      <c r="N179" s="287">
        <f t="shared" ref="N179:P179" si="269">N74 * (1 - N$119)</f>
        <v>0</v>
      </c>
      <c r="O179" s="287">
        <f t="shared" si="269"/>
        <v>0</v>
      </c>
      <c r="P179" s="287">
        <f t="shared" si="269"/>
        <v>0</v>
      </c>
      <c r="Q179" s="287">
        <f t="shared" ref="Q179:S179" si="270">Q74 * (1 - Q$119)</f>
        <v>5.4568183320714794E-2</v>
      </c>
      <c r="R179" s="287">
        <f t="shared" si="270"/>
        <v>-4.827656950626312E-2</v>
      </c>
      <c r="S179" s="287">
        <f t="shared" si="270"/>
        <v>0</v>
      </c>
      <c r="T179" s="287">
        <f t="shared" ref="T179:U179" si="271">T74 * (1 - T$119)</f>
        <v>-4.827656950626312E-2</v>
      </c>
      <c r="U179" s="287">
        <f t="shared" si="271"/>
        <v>-4.827656950626312E-2</v>
      </c>
      <c r="V179" s="287">
        <f t="shared" ref="V179:W179" si="272">V74 * (1 - V$119)</f>
        <v>0</v>
      </c>
      <c r="W179" s="287">
        <f t="shared" si="272"/>
        <v>0</v>
      </c>
      <c r="X179" s="287">
        <f t="shared" ref="X179:Y179" si="273">X74 * (1 - X$119)</f>
        <v>0</v>
      </c>
      <c r="Y179" s="287">
        <f t="shared" si="273"/>
        <v>0</v>
      </c>
      <c r="Z179" s="269"/>
      <c r="AA179" s="269"/>
    </row>
    <row r="180" spans="3:27" x14ac:dyDescent="0.25">
      <c r="F180" t="s">
        <v>199</v>
      </c>
      <c r="G180" t="s">
        <v>269</v>
      </c>
      <c r="H180" s="269"/>
      <c r="I180" s="269"/>
      <c r="J180" s="287">
        <f t="shared" ref="J180:K180" si="274">J75 * (1 - J$120)</f>
        <v>0</v>
      </c>
      <c r="K180" s="287">
        <f t="shared" si="274"/>
        <v>0</v>
      </c>
      <c r="L180" s="287">
        <f t="shared" ref="L180:M180" si="275">L75 * (1 - L$120)</f>
        <v>0</v>
      </c>
      <c r="M180" s="287">
        <f t="shared" si="275"/>
        <v>0</v>
      </c>
      <c r="N180" s="287">
        <f t="shared" ref="N180:P180" si="276">N75 * (1 - N$120)</f>
        <v>0</v>
      </c>
      <c r="O180" s="287">
        <f t="shared" si="276"/>
        <v>0</v>
      </c>
      <c r="P180" s="287">
        <f t="shared" si="276"/>
        <v>0</v>
      </c>
      <c r="Q180" s="287">
        <f t="shared" ref="Q180:S180" si="277">Q75 * (1 - Q$120)</f>
        <v>0.10876566267530183</v>
      </c>
      <c r="R180" s="287">
        <f t="shared" si="277"/>
        <v>0</v>
      </c>
      <c r="S180" s="287">
        <f t="shared" si="277"/>
        <v>0</v>
      </c>
      <c r="T180" s="287">
        <f t="shared" ref="T180:U180" si="278">T75 * (1 - T$120)</f>
        <v>0</v>
      </c>
      <c r="U180" s="287">
        <f t="shared" si="278"/>
        <v>0</v>
      </c>
      <c r="V180" s="287">
        <f t="shared" ref="V180:W180" si="279">V75 * (1 - V$120)</f>
        <v>0</v>
      </c>
      <c r="W180" s="287">
        <f t="shared" si="279"/>
        <v>0</v>
      </c>
      <c r="X180" s="287">
        <f t="shared" ref="X180:Y180" si="280">X75 * (1 - X$120)</f>
        <v>0</v>
      </c>
      <c r="Y180" s="287">
        <f t="shared" si="280"/>
        <v>0</v>
      </c>
      <c r="Z180" s="269"/>
      <c r="AA180" s="269"/>
    </row>
    <row r="181" spans="3:27" x14ac:dyDescent="0.25">
      <c r="F181" s="23" t="s">
        <v>376</v>
      </c>
      <c r="G181" s="23" t="s">
        <v>269</v>
      </c>
      <c r="H181" s="267"/>
      <c r="I181" s="267" t="s">
        <v>154</v>
      </c>
      <c r="J181" s="285"/>
      <c r="K181" s="285"/>
      <c r="L181" s="285"/>
      <c r="M181" s="285"/>
      <c r="N181" s="285"/>
      <c r="O181" s="285"/>
      <c r="P181" s="285"/>
      <c r="Q181" s="286">
        <f>Q76</f>
        <v>0.79060175753563178</v>
      </c>
      <c r="R181" s="285"/>
      <c r="S181" s="285"/>
      <c r="T181" s="285"/>
      <c r="U181" s="285"/>
      <c r="V181" s="285"/>
      <c r="W181" s="285"/>
      <c r="X181" s="285"/>
      <c r="Y181" s="285"/>
      <c r="Z181" s="269"/>
      <c r="AA181" s="269" t="s">
        <v>654</v>
      </c>
    </row>
    <row r="182" spans="3:27" x14ac:dyDescent="0.25">
      <c r="F182" s="37" t="s">
        <v>377</v>
      </c>
      <c r="G182" s="37" t="s">
        <v>269</v>
      </c>
      <c r="H182" s="273"/>
      <c r="I182" s="273"/>
      <c r="J182" s="274"/>
      <c r="K182" s="274"/>
      <c r="L182" s="274"/>
      <c r="M182" s="274"/>
      <c r="N182" s="274"/>
      <c r="O182" s="274"/>
      <c r="P182" s="274"/>
      <c r="Q182" s="274"/>
      <c r="R182" s="274"/>
      <c r="S182" s="274"/>
      <c r="T182" s="274"/>
      <c r="U182" s="274"/>
      <c r="V182" s="274"/>
      <c r="W182" s="274"/>
      <c r="X182" s="274"/>
      <c r="Y182" s="274"/>
      <c r="Z182" s="269"/>
      <c r="AA182" s="269"/>
    </row>
    <row r="183" spans="3:27" x14ac:dyDescent="0.25">
      <c r="E183"/>
      <c r="J183" s="89"/>
      <c r="K183" s="89"/>
      <c r="L183" s="89"/>
      <c r="M183" s="89"/>
      <c r="N183" s="89"/>
      <c r="O183" s="89"/>
      <c r="P183" s="89"/>
      <c r="Q183" s="89"/>
      <c r="R183" s="89"/>
      <c r="S183" s="89"/>
      <c r="T183" s="89"/>
      <c r="U183" s="89"/>
      <c r="V183" s="89"/>
      <c r="W183" s="89"/>
      <c r="X183" s="89"/>
      <c r="Y183" s="89"/>
    </row>
    <row r="184" spans="3:27" x14ac:dyDescent="0.25">
      <c r="C184" s="31" t="str">
        <f ca="1">INDEX('Version control'!$H$34:$H$57,MATCH($A$1,'Version control'!$F$34:$F$57,0),1)&amp;"-G: Contributions to unit rate 3 p/kWh by network level (taking account of standing charges)"</f>
        <v>Section 111-G: Contributions to unit rate 3 p/kWh by network level (taking account of standing charges)</v>
      </c>
      <c r="D184" s="31"/>
      <c r="E184" s="31"/>
      <c r="F184" s="31"/>
      <c r="G184" s="31"/>
      <c r="H184" s="31"/>
      <c r="I184" s="31"/>
      <c r="J184" s="90"/>
      <c r="K184" s="90"/>
      <c r="L184" s="90"/>
      <c r="M184" s="90"/>
      <c r="N184" s="90"/>
      <c r="O184" s="90"/>
      <c r="P184" s="90"/>
      <c r="Q184" s="90"/>
      <c r="R184" s="90"/>
      <c r="S184" s="90"/>
      <c r="T184" s="90"/>
      <c r="U184" s="90"/>
      <c r="V184" s="90"/>
      <c r="W184" s="90"/>
      <c r="X184" s="90"/>
      <c r="Y184" s="90"/>
      <c r="Z184" s="31"/>
      <c r="AA184" s="31"/>
    </row>
    <row r="185" spans="3:27" x14ac:dyDescent="0.25">
      <c r="C185" s="32"/>
      <c r="D185" s="32"/>
      <c r="E185"/>
      <c r="I185" t="s">
        <v>154</v>
      </c>
      <c r="J185" s="89"/>
      <c r="K185" s="89"/>
      <c r="L185" s="89"/>
      <c r="M185" s="89"/>
      <c r="N185" s="89"/>
      <c r="O185" s="89"/>
      <c r="P185" s="89"/>
      <c r="Q185" s="89"/>
      <c r="R185" s="89"/>
      <c r="S185" s="89"/>
      <c r="T185" s="89"/>
      <c r="U185" s="89"/>
      <c r="V185" s="89"/>
      <c r="W185" s="89"/>
      <c r="X185" s="89"/>
      <c r="Y185" s="89"/>
      <c r="AA185" t="s">
        <v>656</v>
      </c>
    </row>
    <row r="186" spans="3:27" x14ac:dyDescent="0.25">
      <c r="E186" s="32" t="s">
        <v>621</v>
      </c>
      <c r="J186" s="89"/>
      <c r="K186" s="89"/>
      <c r="L186" s="89"/>
      <c r="M186" s="89"/>
      <c r="N186" s="89"/>
      <c r="O186" s="89"/>
      <c r="P186" s="89"/>
      <c r="Q186" s="89"/>
      <c r="R186" s="89"/>
      <c r="S186" s="89"/>
      <c r="T186" s="89"/>
      <c r="U186" s="89"/>
      <c r="V186" s="89"/>
      <c r="W186" s="89"/>
      <c r="X186" s="89"/>
      <c r="Y186" s="89"/>
    </row>
    <row r="187" spans="3:27" x14ac:dyDescent="0.25">
      <c r="F187" s="23" t="s">
        <v>189</v>
      </c>
      <c r="G187" s="23" t="s">
        <v>269</v>
      </c>
      <c r="H187" s="267"/>
      <c r="I187" s="267"/>
      <c r="J187" s="286">
        <f t="shared" ref="J187:K187" si="281">J82 * (1 - J$112)</f>
        <v>0</v>
      </c>
      <c r="K187" s="286">
        <f t="shared" si="281"/>
        <v>0</v>
      </c>
      <c r="L187" s="286">
        <f t="shared" ref="L187:M187" si="282">L82 * (1 - L$112)</f>
        <v>0</v>
      </c>
      <c r="M187" s="286">
        <f t="shared" si="282"/>
        <v>0</v>
      </c>
      <c r="N187" s="286">
        <f t="shared" ref="N187:P187" si="283">N82 * (1 - N$112)</f>
        <v>0</v>
      </c>
      <c r="O187" s="286">
        <f t="shared" si="283"/>
        <v>0</v>
      </c>
      <c r="P187" s="286">
        <f t="shared" si="283"/>
        <v>0</v>
      </c>
      <c r="Q187" s="286">
        <f t="shared" ref="Q187:S187" si="284">Q82 * (1 - Q$112)</f>
        <v>0</v>
      </c>
      <c r="R187" s="286">
        <f t="shared" si="284"/>
        <v>0</v>
      </c>
      <c r="S187" s="286">
        <f t="shared" si="284"/>
        <v>0</v>
      </c>
      <c r="T187" s="286">
        <f t="shared" ref="T187:U187" si="285">T82 * (1 - T$112)</f>
        <v>0</v>
      </c>
      <c r="U187" s="286">
        <f t="shared" si="285"/>
        <v>0</v>
      </c>
      <c r="V187" s="286">
        <f t="shared" ref="V187:W187" si="286">V82 * (1 - V$112)</f>
        <v>0</v>
      </c>
      <c r="W187" s="286">
        <f t="shared" si="286"/>
        <v>0</v>
      </c>
      <c r="X187" s="286">
        <f t="shared" ref="X187:Y187" si="287">X82 * (1 - X$112)</f>
        <v>0</v>
      </c>
      <c r="Y187" s="286">
        <f t="shared" si="287"/>
        <v>0</v>
      </c>
      <c r="Z187" s="269"/>
      <c r="AA187" s="269"/>
    </row>
    <row r="188" spans="3:27" x14ac:dyDescent="0.25">
      <c r="F188" t="s">
        <v>191</v>
      </c>
      <c r="G188" t="s">
        <v>269</v>
      </c>
      <c r="H188" s="269"/>
      <c r="I188" s="269"/>
      <c r="J188" s="287">
        <f t="shared" ref="J188:K188" si="288">J83 * (1 - J$112)</f>
        <v>0</v>
      </c>
      <c r="K188" s="287">
        <f t="shared" si="288"/>
        <v>0</v>
      </c>
      <c r="L188" s="287">
        <f t="shared" ref="L188:M188" si="289">L83 * (1 - L$112)</f>
        <v>0</v>
      </c>
      <c r="M188" s="287">
        <f t="shared" si="289"/>
        <v>0</v>
      </c>
      <c r="N188" s="287">
        <f t="shared" ref="N188:P188" si="290">N83 * (1 - N$112)</f>
        <v>0</v>
      </c>
      <c r="O188" s="287">
        <f t="shared" si="290"/>
        <v>0</v>
      </c>
      <c r="P188" s="287">
        <f t="shared" si="290"/>
        <v>0</v>
      </c>
      <c r="Q188" s="287">
        <f t="shared" ref="Q188:S188" si="291">Q83 * (1 - Q$112)</f>
        <v>0</v>
      </c>
      <c r="R188" s="287">
        <f t="shared" si="291"/>
        <v>0</v>
      </c>
      <c r="S188" s="287">
        <f t="shared" si="291"/>
        <v>0</v>
      </c>
      <c r="T188" s="287">
        <f t="shared" ref="T188:U188" si="292">T83 * (1 - T$112)</f>
        <v>0</v>
      </c>
      <c r="U188" s="287">
        <f t="shared" si="292"/>
        <v>0</v>
      </c>
      <c r="V188" s="287">
        <f t="shared" ref="V188:W188" si="293">V83 * (1 - V$112)</f>
        <v>0</v>
      </c>
      <c r="W188" s="287">
        <f t="shared" si="293"/>
        <v>0</v>
      </c>
      <c r="X188" s="287">
        <f t="shared" ref="X188:Y188" si="294">X83 * (1 - X$112)</f>
        <v>0</v>
      </c>
      <c r="Y188" s="287">
        <f t="shared" si="294"/>
        <v>0</v>
      </c>
      <c r="Z188" s="269"/>
      <c r="AA188" s="269"/>
    </row>
    <row r="189" spans="3:27" x14ac:dyDescent="0.25">
      <c r="F189" t="s">
        <v>192</v>
      </c>
      <c r="G189" t="s">
        <v>269</v>
      </c>
      <c r="H189" s="269"/>
      <c r="I189" s="269"/>
      <c r="J189" s="287">
        <f t="shared" ref="J189:K189" si="295">J84 * (1 - J$113)</f>
        <v>3.7483059872422146E-3</v>
      </c>
      <c r="K189" s="287">
        <f t="shared" si="295"/>
        <v>3.7483059872422146E-3</v>
      </c>
      <c r="L189" s="287">
        <f t="shared" ref="L189:M189" si="296">L84 * (1 - L$113)</f>
        <v>3.2469086188334304E-3</v>
      </c>
      <c r="M189" s="287">
        <f t="shared" si="296"/>
        <v>3.2469086188334304E-3</v>
      </c>
      <c r="N189" s="287">
        <f t="shared" ref="N189:P189" si="297">N84 * (1 - N$113)</f>
        <v>2.7601761553389748E-3</v>
      </c>
      <c r="O189" s="287">
        <f t="shared" si="297"/>
        <v>2.4663306728866341E-3</v>
      </c>
      <c r="P189" s="287">
        <f t="shared" si="297"/>
        <v>2.189735460311162E-3</v>
      </c>
      <c r="Q189" s="287">
        <f t="shared" ref="Q189:S189" si="298">Q84 * (1 - Q$113)</f>
        <v>2.876559560470488E-3</v>
      </c>
      <c r="R189" s="287">
        <f t="shared" si="298"/>
        <v>-2.2635756883083494E-3</v>
      </c>
      <c r="S189" s="287">
        <f t="shared" si="298"/>
        <v>-2.198482138830094E-3</v>
      </c>
      <c r="T189" s="287">
        <f t="shared" ref="T189:U189" si="299">T84 * (1 - T$113)</f>
        <v>-2.2635756883083494E-3</v>
      </c>
      <c r="U189" s="287">
        <f t="shared" si="299"/>
        <v>-2.2635756883083494E-3</v>
      </c>
      <c r="V189" s="287">
        <f t="shared" ref="V189:W189" si="300">V84 * (1 - V$113)</f>
        <v>-2.198482138830094E-3</v>
      </c>
      <c r="W189" s="287">
        <f t="shared" si="300"/>
        <v>-2.198482138830094E-3</v>
      </c>
      <c r="X189" s="287">
        <f t="shared" ref="X189:Y189" si="301">X84 * (1 - X$113)</f>
        <v>-2.1753844277249074E-3</v>
      </c>
      <c r="Y189" s="287">
        <f t="shared" si="301"/>
        <v>-2.1753844277249074E-3</v>
      </c>
      <c r="Z189" s="269"/>
      <c r="AA189" s="269"/>
    </row>
    <row r="190" spans="3:27" x14ac:dyDescent="0.25">
      <c r="F190" t="s">
        <v>193</v>
      </c>
      <c r="G190" t="s">
        <v>269</v>
      </c>
      <c r="H190" s="269"/>
      <c r="I190" s="269"/>
      <c r="J190" s="287">
        <f t="shared" ref="J190:K190" si="302">J85 * (1 - J$114)</f>
        <v>1.9584549030084971E-3</v>
      </c>
      <c r="K190" s="287">
        <f t="shared" si="302"/>
        <v>1.9584549030084971E-3</v>
      </c>
      <c r="L190" s="287">
        <f t="shared" ref="L190:M190" si="303">L85 * (1 - L$114)</f>
        <v>1.6964794565380199E-3</v>
      </c>
      <c r="M190" s="287">
        <f t="shared" si="303"/>
        <v>1.6964794565380199E-3</v>
      </c>
      <c r="N190" s="287">
        <f t="shared" ref="N190:P190" si="304">N85 * (1 - N$114)</f>
        <v>1.442166286047512E-3</v>
      </c>
      <c r="O190" s="287">
        <f t="shared" si="304"/>
        <v>1.2886347633291409E-3</v>
      </c>
      <c r="P190" s="287">
        <f t="shared" si="304"/>
        <v>1.1615498953442083E-3</v>
      </c>
      <c r="Q190" s="287">
        <f t="shared" ref="Q190:S190" si="305">Q85 * (1 - Q$114)</f>
        <v>1.5029755292588259E-3</v>
      </c>
      <c r="R190" s="287">
        <f t="shared" si="305"/>
        <v>-1.1826971757873867E-3</v>
      </c>
      <c r="S190" s="287">
        <f t="shared" si="305"/>
        <v>-1.1486864035708661E-3</v>
      </c>
      <c r="T190" s="287">
        <f t="shared" ref="T190:U190" si="306">T85 * (1 - T$114)</f>
        <v>-1.1826971757873867E-3</v>
      </c>
      <c r="U190" s="287">
        <f t="shared" si="306"/>
        <v>-1.1826971757873867E-3</v>
      </c>
      <c r="V190" s="287">
        <f t="shared" ref="V190:W190" si="307">V85 * (1 - V$114)</f>
        <v>-1.1486864035708661E-3</v>
      </c>
      <c r="W190" s="287">
        <f t="shared" si="307"/>
        <v>-1.1486864035708661E-3</v>
      </c>
      <c r="X190" s="287">
        <f t="shared" ref="X190:Y190" si="308">X85 * (1 - X$114)</f>
        <v>-1.1366180650424235E-3</v>
      </c>
      <c r="Y190" s="287">
        <f t="shared" si="308"/>
        <v>-1.1366180650424235E-3</v>
      </c>
      <c r="Z190" s="269"/>
      <c r="AA190" s="269"/>
    </row>
    <row r="191" spans="3:27" x14ac:dyDescent="0.25">
      <c r="F191" t="s">
        <v>194</v>
      </c>
      <c r="G191" t="s">
        <v>269</v>
      </c>
      <c r="H191" s="269"/>
      <c r="I191" s="269"/>
      <c r="J191" s="287">
        <f t="shared" ref="J191:K191" si="309">J86 * (1 - J$115)</f>
        <v>5.089342049326818E-3</v>
      </c>
      <c r="K191" s="287">
        <f t="shared" si="309"/>
        <v>5.089342049326818E-3</v>
      </c>
      <c r="L191" s="287">
        <f t="shared" ref="L191:M191" si="310">L86 * (1 - L$115)</f>
        <v>4.4085591252139211E-3</v>
      </c>
      <c r="M191" s="287">
        <f t="shared" si="310"/>
        <v>4.4085591252139211E-3</v>
      </c>
      <c r="N191" s="287">
        <f t="shared" ref="N191:P191" si="311">N86 * (1 - N$115)</f>
        <v>3.7476877871572044E-3</v>
      </c>
      <c r="O191" s="287">
        <f t="shared" si="311"/>
        <v>3.3487128435588263E-3</v>
      </c>
      <c r="P191" s="287">
        <f t="shared" si="311"/>
        <v>2.2567964065114961E-3</v>
      </c>
      <c r="Q191" s="287">
        <f t="shared" ref="Q191:S191" si="312">Q86 * (1 - Q$115)</f>
        <v>3.905709826872121E-3</v>
      </c>
      <c r="R191" s="287">
        <f t="shared" si="312"/>
        <v>-3.0734179577525376E-3</v>
      </c>
      <c r="S191" s="287">
        <f t="shared" si="312"/>
        <v>-2.9850358086891526E-3</v>
      </c>
      <c r="T191" s="287">
        <f t="shared" ref="T191:U191" si="313">T86 * (1 - T$115)</f>
        <v>-3.0734179577525376E-3</v>
      </c>
      <c r="U191" s="287">
        <f t="shared" si="313"/>
        <v>-3.0734179577525376E-3</v>
      </c>
      <c r="V191" s="287">
        <f t="shared" ref="V191:W191" si="314">V86 * (1 - V$115)</f>
        <v>-2.9850358086891526E-3</v>
      </c>
      <c r="W191" s="287">
        <f t="shared" si="314"/>
        <v>-2.9850358086891526E-3</v>
      </c>
      <c r="X191" s="287">
        <f t="shared" ref="X191:Y191" si="315">X86 * (1 - X$115)</f>
        <v>-2.7604448752539994E-3</v>
      </c>
      <c r="Y191" s="287">
        <f t="shared" si="315"/>
        <v>-2.7604448752539994E-3</v>
      </c>
      <c r="Z191" s="269"/>
      <c r="AA191" s="269"/>
    </row>
    <row r="192" spans="3:27" x14ac:dyDescent="0.25">
      <c r="F192" t="s">
        <v>195</v>
      </c>
      <c r="G192" t="s">
        <v>269</v>
      </c>
      <c r="H192" s="269"/>
      <c r="I192" s="269"/>
      <c r="J192" s="287">
        <f t="shared" ref="J192:K192" si="316">J87 * (1 - J$116)</f>
        <v>8.1872977582028352E-3</v>
      </c>
      <c r="K192" s="287">
        <f t="shared" si="316"/>
        <v>8.1872977582028352E-3</v>
      </c>
      <c r="L192" s="287">
        <f t="shared" ref="L192:M192" si="317">L87 * (1 - L$116)</f>
        <v>7.0921124760209165E-3</v>
      </c>
      <c r="M192" s="287">
        <f t="shared" si="317"/>
        <v>7.0921124760209165E-3</v>
      </c>
      <c r="N192" s="287">
        <f t="shared" ref="N192:P192" si="318">N87 * (1 - N$116)</f>
        <v>6.0289592487293943E-3</v>
      </c>
      <c r="O192" s="287">
        <f t="shared" si="318"/>
        <v>5.3871225182360732E-3</v>
      </c>
      <c r="P192" s="287">
        <f t="shared" si="318"/>
        <v>0</v>
      </c>
      <c r="Q192" s="287">
        <f t="shared" ref="Q192:S192" si="319">Q87 * (1 - Q$116)</f>
        <v>6.2831715769567148E-3</v>
      </c>
      <c r="R192" s="287">
        <f t="shared" si="319"/>
        <v>-4.9442516756868548E-3</v>
      </c>
      <c r="S192" s="287">
        <f t="shared" si="319"/>
        <v>-4.8020700412283257E-3</v>
      </c>
      <c r="T192" s="287">
        <f t="shared" ref="T192:U192" si="320">T87 * (1 - T$116)</f>
        <v>-4.9442516756868548E-3</v>
      </c>
      <c r="U192" s="287">
        <f t="shared" si="320"/>
        <v>-4.9442516756868548E-3</v>
      </c>
      <c r="V192" s="287">
        <f t="shared" ref="V192:W192" si="321">V87 * (1 - V$116)</f>
        <v>-4.8020700412283257E-3</v>
      </c>
      <c r="W192" s="287">
        <f t="shared" si="321"/>
        <v>-4.8020700412283257E-3</v>
      </c>
      <c r="X192" s="287">
        <f t="shared" ref="X192:Y192" si="322">X87 * (1 - X$116)</f>
        <v>-3.080808674586388E-3</v>
      </c>
      <c r="Y192" s="287">
        <f t="shared" si="322"/>
        <v>-3.080808674586388E-3</v>
      </c>
      <c r="Z192" s="269"/>
      <c r="AA192" s="269"/>
    </row>
    <row r="193" spans="4:27" x14ac:dyDescent="0.25">
      <c r="F193" t="s">
        <v>196</v>
      </c>
      <c r="G193" t="s">
        <v>269</v>
      </c>
      <c r="H193" s="269"/>
      <c r="I193" s="269"/>
      <c r="J193" s="287">
        <f t="shared" ref="J193:K193" si="323">J88 * (1 - J$117)</f>
        <v>3.2774487969919775E-4</v>
      </c>
      <c r="K193" s="287">
        <f t="shared" si="323"/>
        <v>3.2774487969919775E-4</v>
      </c>
      <c r="L193" s="287">
        <f t="shared" ref="L193:M193" si="324">L88 * (1 - L$117)</f>
        <v>2.8390362961183864E-4</v>
      </c>
      <c r="M193" s="287">
        <f t="shared" si="324"/>
        <v>2.8390362961183864E-4</v>
      </c>
      <c r="N193" s="287">
        <f t="shared" ref="N193:P193" si="325">N88 * (1 - N$117)</f>
        <v>2.4134465143966092E-4</v>
      </c>
      <c r="O193" s="287">
        <f t="shared" si="325"/>
        <v>2.1565135088621491E-4</v>
      </c>
      <c r="P193" s="287">
        <f t="shared" si="325"/>
        <v>0</v>
      </c>
      <c r="Q193" s="287">
        <f t="shared" ref="Q193:S193" si="326">Q88 * (1 - Q$117)</f>
        <v>2.5152099916677772E-4</v>
      </c>
      <c r="R193" s="287">
        <f t="shared" si="326"/>
        <v>-1.9792283345588797E-4</v>
      </c>
      <c r="S193" s="287">
        <f t="shared" si="326"/>
        <v>-1.9223117497988373E-4</v>
      </c>
      <c r="T193" s="287">
        <f t="shared" ref="T193:U193" si="327">T88 * (1 - T$117)</f>
        <v>-1.9792283345588797E-4</v>
      </c>
      <c r="U193" s="287">
        <f t="shared" si="327"/>
        <v>-1.9792283345588797E-4</v>
      </c>
      <c r="V193" s="287">
        <f t="shared" ref="V193:W193" si="328">V88 * (1 - V$117)</f>
        <v>-1.9223117497988373E-4</v>
      </c>
      <c r="W193" s="287">
        <f t="shared" si="328"/>
        <v>-1.9223117497988373E-4</v>
      </c>
      <c r="X193" s="287">
        <f t="shared" ref="X193:Y193" si="329">X88 * (1 - X$117)</f>
        <v>-1.2332753714947337E-4</v>
      </c>
      <c r="Y193" s="287">
        <f t="shared" si="329"/>
        <v>-1.2332753714947337E-4</v>
      </c>
      <c r="Z193" s="269"/>
      <c r="AA193" s="269"/>
    </row>
    <row r="194" spans="4:27" x14ac:dyDescent="0.25">
      <c r="F194" t="s">
        <v>197</v>
      </c>
      <c r="G194" t="s">
        <v>269</v>
      </c>
      <c r="H194" s="269"/>
      <c r="I194" s="269"/>
      <c r="J194" s="287">
        <f t="shared" ref="J194:K194" si="330">J89 * (1 - J$118)</f>
        <v>9.8246524697545613E-3</v>
      </c>
      <c r="K194" s="287">
        <f t="shared" si="330"/>
        <v>9.8246524697545613E-3</v>
      </c>
      <c r="L194" s="287">
        <f t="shared" ref="L194:M194" si="331">L89 * (1 - L$118)</f>
        <v>8.5104441552166909E-3</v>
      </c>
      <c r="M194" s="287">
        <f t="shared" si="331"/>
        <v>8.5104441552166909E-3</v>
      </c>
      <c r="N194" s="287">
        <f t="shared" ref="N194:P194" si="332">N89 * (1 - N$118)</f>
        <v>5.787739117096017E-3</v>
      </c>
      <c r="O194" s="287">
        <f t="shared" si="332"/>
        <v>0</v>
      </c>
      <c r="P194" s="287">
        <f t="shared" si="332"/>
        <v>0</v>
      </c>
      <c r="Q194" s="287">
        <f t="shared" ref="Q194:S194" si="333">Q89 * (1 - Q$118)</f>
        <v>7.5397254349998848E-3</v>
      </c>
      <c r="R194" s="287">
        <f t="shared" si="333"/>
        <v>-5.9330386986301119E-3</v>
      </c>
      <c r="S194" s="287">
        <f t="shared" si="333"/>
        <v>-5.7624225579459426E-3</v>
      </c>
      <c r="T194" s="287">
        <f t="shared" ref="T194:U194" si="334">T89 * (1 - T$118)</f>
        <v>-5.9330386986301119E-3</v>
      </c>
      <c r="U194" s="287">
        <f t="shared" si="334"/>
        <v>-5.9330386986301119E-3</v>
      </c>
      <c r="V194" s="287">
        <f t="shared" ref="V194:W194" si="335">V89 * (1 - V$118)</f>
        <v>-5.7624225579459426E-3</v>
      </c>
      <c r="W194" s="287">
        <f t="shared" si="335"/>
        <v>-5.7624225579459426E-3</v>
      </c>
      <c r="X194" s="287">
        <f t="shared" ref="X194:Y194" si="336">X89 * (1 - X$118)</f>
        <v>0</v>
      </c>
      <c r="Y194" s="287">
        <f t="shared" si="336"/>
        <v>0</v>
      </c>
      <c r="Z194" s="269"/>
      <c r="AA194" s="269"/>
    </row>
    <row r="195" spans="4:27" x14ac:dyDescent="0.25">
      <c r="F195" t="s">
        <v>198</v>
      </c>
      <c r="G195" t="s">
        <v>269</v>
      </c>
      <c r="H195" s="269"/>
      <c r="I195" s="269"/>
      <c r="J195" s="287">
        <f t="shared" ref="J195:K195" si="337">J90 * (1 - J$119)</f>
        <v>2.5132043322888425E-3</v>
      </c>
      <c r="K195" s="287">
        <f t="shared" si="337"/>
        <v>2.5132043322888425E-3</v>
      </c>
      <c r="L195" s="287">
        <f t="shared" ref="L195:M195" si="338">L90 * (1 - L$119)</f>
        <v>2.1770220561427322E-3</v>
      </c>
      <c r="M195" s="287">
        <f t="shared" si="338"/>
        <v>2.1770220561427322E-3</v>
      </c>
      <c r="N195" s="287">
        <f t="shared" ref="N195:P195" si="339">N90 * (1 - N$119)</f>
        <v>0</v>
      </c>
      <c r="O195" s="287">
        <f t="shared" si="339"/>
        <v>0</v>
      </c>
      <c r="P195" s="287">
        <f t="shared" si="339"/>
        <v>0</v>
      </c>
      <c r="Q195" s="287">
        <f t="shared" ref="Q195:S195" si="340">Q90 * (1 - Q$119)</f>
        <v>1.9287064540801477E-3</v>
      </c>
      <c r="R195" s="287">
        <f t="shared" si="340"/>
        <v>-1.5177064641154739E-3</v>
      </c>
      <c r="S195" s="287">
        <f t="shared" si="340"/>
        <v>0</v>
      </c>
      <c r="T195" s="287">
        <f t="shared" ref="T195:U195" si="341">T90 * (1 - T$119)</f>
        <v>-1.5177064641154739E-3</v>
      </c>
      <c r="U195" s="287">
        <f t="shared" si="341"/>
        <v>-1.5177064641154739E-3</v>
      </c>
      <c r="V195" s="287">
        <f t="shared" ref="V195:W195" si="342">V90 * (1 - V$119)</f>
        <v>0</v>
      </c>
      <c r="W195" s="287">
        <f t="shared" si="342"/>
        <v>0</v>
      </c>
      <c r="X195" s="287">
        <f t="shared" ref="X195:Y195" si="343">X90 * (1 - X$119)</f>
        <v>0</v>
      </c>
      <c r="Y195" s="287">
        <f t="shared" si="343"/>
        <v>0</v>
      </c>
      <c r="Z195" s="269"/>
      <c r="AA195" s="269"/>
    </row>
    <row r="196" spans="4:27" x14ac:dyDescent="0.25">
      <c r="F196" t="s">
        <v>199</v>
      </c>
      <c r="G196" t="s">
        <v>269</v>
      </c>
      <c r="H196" s="269"/>
      <c r="I196" s="269"/>
      <c r="J196" s="287">
        <f t="shared" ref="J196:K196" si="344">J91 * (1 - J$120)</f>
        <v>0</v>
      </c>
      <c r="K196" s="287">
        <f t="shared" si="344"/>
        <v>0</v>
      </c>
      <c r="L196" s="287">
        <f t="shared" ref="L196:M196" si="345">L91 * (1 - L$120)</f>
        <v>0</v>
      </c>
      <c r="M196" s="287">
        <f t="shared" si="345"/>
        <v>0</v>
      </c>
      <c r="N196" s="287">
        <f t="shared" ref="N196:P196" si="346">N91 * (1 - N$120)</f>
        <v>0</v>
      </c>
      <c r="O196" s="287">
        <f t="shared" si="346"/>
        <v>0</v>
      </c>
      <c r="P196" s="287">
        <f t="shared" si="346"/>
        <v>0</v>
      </c>
      <c r="Q196" s="287">
        <f t="shared" ref="Q196:S196" si="347">Q91 * (1 - Q$120)</f>
        <v>8.0941616908710215E-4</v>
      </c>
      <c r="R196" s="287">
        <f t="shared" si="347"/>
        <v>0</v>
      </c>
      <c r="S196" s="287">
        <f t="shared" si="347"/>
        <v>0</v>
      </c>
      <c r="T196" s="287">
        <f t="shared" ref="T196:U196" si="348">T91 * (1 - T$120)</f>
        <v>0</v>
      </c>
      <c r="U196" s="287">
        <f t="shared" si="348"/>
        <v>0</v>
      </c>
      <c r="V196" s="287">
        <f t="shared" ref="V196:W196" si="349">V91 * (1 - V$120)</f>
        <v>0</v>
      </c>
      <c r="W196" s="287">
        <f t="shared" si="349"/>
        <v>0</v>
      </c>
      <c r="X196" s="287">
        <f t="shared" ref="X196:Y196" si="350">X91 * (1 - X$120)</f>
        <v>0</v>
      </c>
      <c r="Y196" s="287">
        <f t="shared" si="350"/>
        <v>0</v>
      </c>
      <c r="Z196" s="269"/>
      <c r="AA196" s="269"/>
    </row>
    <row r="197" spans="4:27" x14ac:dyDescent="0.25">
      <c r="D197"/>
      <c r="F197" s="23" t="s">
        <v>376</v>
      </c>
      <c r="G197" s="23" t="s">
        <v>269</v>
      </c>
      <c r="H197" s="267"/>
      <c r="I197" s="267"/>
      <c r="J197" s="285"/>
      <c r="K197" s="285"/>
      <c r="L197" s="285"/>
      <c r="M197" s="285"/>
      <c r="N197" s="285"/>
      <c r="O197" s="285"/>
      <c r="P197" s="285"/>
      <c r="Q197" s="285"/>
      <c r="R197" s="285"/>
      <c r="S197" s="285"/>
      <c r="T197" s="285"/>
      <c r="U197" s="285"/>
      <c r="V197" s="285"/>
      <c r="W197" s="285"/>
      <c r="X197" s="285"/>
      <c r="Y197" s="285"/>
      <c r="Z197" s="269"/>
      <c r="AA197" s="269"/>
    </row>
    <row r="198" spans="4:27" x14ac:dyDescent="0.25">
      <c r="D198"/>
      <c r="F198" s="37" t="s">
        <v>377</v>
      </c>
      <c r="G198" s="37" t="s">
        <v>269</v>
      </c>
      <c r="H198" s="273"/>
      <c r="I198" s="273"/>
      <c r="J198" s="274"/>
      <c r="K198" s="274"/>
      <c r="L198" s="274"/>
      <c r="M198" s="274"/>
      <c r="N198" s="274"/>
      <c r="O198" s="274"/>
      <c r="P198" s="274"/>
      <c r="Q198" s="274"/>
      <c r="R198" s="274"/>
      <c r="S198" s="274"/>
      <c r="T198" s="274"/>
      <c r="U198" s="274"/>
      <c r="V198" s="274"/>
      <c r="W198" s="274"/>
      <c r="X198" s="274"/>
      <c r="Y198" s="274"/>
      <c r="Z198" s="269"/>
      <c r="AA198" s="269"/>
    </row>
    <row r="199" spans="4:27" x14ac:dyDescent="0.25">
      <c r="D199"/>
      <c r="J199" s="89"/>
      <c r="K199" s="89"/>
      <c r="L199" s="89"/>
      <c r="M199" s="89"/>
      <c r="N199" s="89"/>
      <c r="O199" s="89"/>
      <c r="P199" s="89"/>
      <c r="Q199" s="89"/>
      <c r="R199" s="89"/>
      <c r="S199" s="89"/>
      <c r="T199" s="89"/>
      <c r="U199" s="89"/>
      <c r="V199" s="89"/>
      <c r="W199" s="89"/>
      <c r="X199" s="89"/>
      <c r="Y199" s="89"/>
    </row>
    <row r="200" spans="4:27" x14ac:dyDescent="0.25">
      <c r="E200" s="32" t="s">
        <v>622</v>
      </c>
      <c r="J200" s="89"/>
      <c r="K200" s="89"/>
      <c r="L200" s="89"/>
      <c r="M200" s="89"/>
      <c r="N200" s="89"/>
      <c r="O200" s="89"/>
      <c r="P200" s="89"/>
      <c r="Q200" s="89"/>
      <c r="R200" s="89"/>
      <c r="S200" s="89"/>
      <c r="T200" s="89"/>
      <c r="U200" s="89"/>
      <c r="V200" s="89"/>
      <c r="W200" s="89"/>
      <c r="X200" s="89"/>
      <c r="Y200" s="89"/>
    </row>
    <row r="201" spans="4:27" x14ac:dyDescent="0.25">
      <c r="F201" s="23" t="s">
        <v>189</v>
      </c>
      <c r="G201" s="23" t="s">
        <v>269</v>
      </c>
      <c r="H201" s="267"/>
      <c r="I201" s="267"/>
      <c r="J201" s="286">
        <f t="shared" ref="J201:K201" si="351">J96 * (1 - J$112)</f>
        <v>0</v>
      </c>
      <c r="K201" s="286">
        <f t="shared" si="351"/>
        <v>0</v>
      </c>
      <c r="L201" s="286">
        <f t="shared" ref="L201:M201" si="352">L96 * (1 - L$112)</f>
        <v>0</v>
      </c>
      <c r="M201" s="286">
        <f t="shared" si="352"/>
        <v>0</v>
      </c>
      <c r="N201" s="286">
        <f t="shared" ref="N201:P201" si="353">N96 * (1 - N$112)</f>
        <v>0</v>
      </c>
      <c r="O201" s="286">
        <f t="shared" si="353"/>
        <v>0</v>
      </c>
      <c r="P201" s="286">
        <f t="shared" si="353"/>
        <v>0</v>
      </c>
      <c r="Q201" s="286">
        <f t="shared" ref="Q201:S201" si="354">Q96 * (1 - Q$112)</f>
        <v>0</v>
      </c>
      <c r="R201" s="286">
        <f t="shared" si="354"/>
        <v>0</v>
      </c>
      <c r="S201" s="286">
        <f t="shared" si="354"/>
        <v>0</v>
      </c>
      <c r="T201" s="286">
        <f t="shared" ref="T201:U201" si="355">T96 * (1 - T$112)</f>
        <v>0</v>
      </c>
      <c r="U201" s="286">
        <f t="shared" si="355"/>
        <v>0</v>
      </c>
      <c r="V201" s="286">
        <f t="shared" ref="V201:W201" si="356">V96 * (1 - V$112)</f>
        <v>0</v>
      </c>
      <c r="W201" s="286">
        <f t="shared" si="356"/>
        <v>0</v>
      </c>
      <c r="X201" s="286">
        <f t="shared" ref="X201:Y201" si="357">X96 * (1 - X$112)</f>
        <v>0</v>
      </c>
      <c r="Y201" s="286">
        <f t="shared" si="357"/>
        <v>0</v>
      </c>
      <c r="Z201" s="269"/>
      <c r="AA201" s="269"/>
    </row>
    <row r="202" spans="4:27" x14ac:dyDescent="0.25">
      <c r="F202" t="s">
        <v>191</v>
      </c>
      <c r="G202" t="s">
        <v>269</v>
      </c>
      <c r="H202" s="269"/>
      <c r="I202" s="269"/>
      <c r="J202" s="287">
        <f t="shared" ref="J202:K202" si="358">J97 * (1 - J$112)</f>
        <v>0</v>
      </c>
      <c r="K202" s="287">
        <f t="shared" si="358"/>
        <v>0</v>
      </c>
      <c r="L202" s="287">
        <f t="shared" ref="L202:M202" si="359">L97 * (1 - L$112)</f>
        <v>0</v>
      </c>
      <c r="M202" s="287">
        <f t="shared" si="359"/>
        <v>0</v>
      </c>
      <c r="N202" s="287">
        <f t="shared" ref="N202:P202" si="360">N97 * (1 - N$112)</f>
        <v>0</v>
      </c>
      <c r="O202" s="287">
        <f t="shared" si="360"/>
        <v>0</v>
      </c>
      <c r="P202" s="287">
        <f t="shared" si="360"/>
        <v>0</v>
      </c>
      <c r="Q202" s="287">
        <f t="shared" ref="Q202:S202" si="361">Q97 * (1 - Q$112)</f>
        <v>0</v>
      </c>
      <c r="R202" s="287">
        <f t="shared" si="361"/>
        <v>0</v>
      </c>
      <c r="S202" s="287">
        <f t="shared" si="361"/>
        <v>0</v>
      </c>
      <c r="T202" s="287">
        <f t="shared" ref="T202:U202" si="362">T97 * (1 - T$112)</f>
        <v>0</v>
      </c>
      <c r="U202" s="287">
        <f t="shared" si="362"/>
        <v>0</v>
      </c>
      <c r="V202" s="287">
        <f t="shared" ref="V202:W202" si="363">V97 * (1 - V$112)</f>
        <v>0</v>
      </c>
      <c r="W202" s="287">
        <f t="shared" si="363"/>
        <v>0</v>
      </c>
      <c r="X202" s="287">
        <f t="shared" ref="X202:Y202" si="364">X97 * (1 - X$112)</f>
        <v>0</v>
      </c>
      <c r="Y202" s="287">
        <f t="shared" si="364"/>
        <v>0</v>
      </c>
      <c r="Z202" s="269"/>
      <c r="AA202" s="269"/>
    </row>
    <row r="203" spans="4:27" x14ac:dyDescent="0.25">
      <c r="F203" t="s">
        <v>192</v>
      </c>
      <c r="G203" t="s">
        <v>269</v>
      </c>
      <c r="H203" s="269"/>
      <c r="I203" s="269"/>
      <c r="J203" s="287">
        <f t="shared" ref="J203:K203" si="365">J98 * (1 - J$113)</f>
        <v>2.3798041246988885E-3</v>
      </c>
      <c r="K203" s="287">
        <f t="shared" si="365"/>
        <v>2.3798041246988885E-3</v>
      </c>
      <c r="L203" s="287">
        <f t="shared" ref="L203:M203" si="366">L98 * (1 - L$113)</f>
        <v>2.0614663130277813E-3</v>
      </c>
      <c r="M203" s="287">
        <f t="shared" si="366"/>
        <v>2.0614663130277813E-3</v>
      </c>
      <c r="N203" s="287">
        <f t="shared" ref="N203:P203" si="367">N98 * (1 - N$113)</f>
        <v>1.7524392676927804E-3</v>
      </c>
      <c r="O203" s="287">
        <f t="shared" si="367"/>
        <v>1.5658764060842711E-3</v>
      </c>
      <c r="P203" s="287">
        <f t="shared" si="367"/>
        <v>1.3902657622362293E-3</v>
      </c>
      <c r="Q203" s="287">
        <f t="shared" ref="Q203:S203" si="368">Q98 * (1 - Q$113)</f>
        <v>1.8263312360969541E-3</v>
      </c>
      <c r="R203" s="287">
        <f t="shared" si="368"/>
        <v>-1.4371470146618624E-3</v>
      </c>
      <c r="S203" s="287">
        <f t="shared" si="368"/>
        <v>-1.3958190392866139E-3</v>
      </c>
      <c r="T203" s="287">
        <f t="shared" ref="T203:U203" si="369">T98 * (1 - T$113)</f>
        <v>-1.4371470146618624E-3</v>
      </c>
      <c r="U203" s="287">
        <f t="shared" si="369"/>
        <v>-1.4371470146618624E-3</v>
      </c>
      <c r="V203" s="287">
        <f t="shared" ref="V203:W203" si="370">V98 * (1 - V$113)</f>
        <v>-1.3958190392866139E-3</v>
      </c>
      <c r="W203" s="287">
        <f t="shared" si="370"/>
        <v>-1.3958190392866139E-3</v>
      </c>
      <c r="X203" s="287">
        <f t="shared" ref="X203:Y203" si="371">X98 * (1 - X$113)</f>
        <v>-1.3811542738308808E-3</v>
      </c>
      <c r="Y203" s="287">
        <f t="shared" si="371"/>
        <v>-1.3811542738308808E-3</v>
      </c>
      <c r="Z203" s="269"/>
      <c r="AA203" s="269"/>
    </row>
    <row r="204" spans="4:27" x14ac:dyDescent="0.25">
      <c r="F204" t="s">
        <v>193</v>
      </c>
      <c r="G204" t="s">
        <v>269</v>
      </c>
      <c r="H204" s="269"/>
      <c r="I204" s="269"/>
      <c r="J204" s="287">
        <f t="shared" ref="J204:K204" si="372">J99 * (1 - J$114)</f>
        <v>1.2434254492775495E-3</v>
      </c>
      <c r="K204" s="287">
        <f t="shared" si="372"/>
        <v>1.2434254492775495E-3</v>
      </c>
      <c r="L204" s="287">
        <f t="shared" ref="L204:M204" si="373">L99 * (1 - L$114)</f>
        <v>1.0770969130795289E-3</v>
      </c>
      <c r="M204" s="287">
        <f t="shared" si="373"/>
        <v>1.0770969130795289E-3</v>
      </c>
      <c r="N204" s="287">
        <f t="shared" ref="N204:P204" si="374">N99 * (1 - N$114)</f>
        <v>9.1563316541365479E-4</v>
      </c>
      <c r="O204" s="287">
        <f t="shared" si="374"/>
        <v>8.1815581103541709E-4</v>
      </c>
      <c r="P204" s="287">
        <f t="shared" si="374"/>
        <v>7.3746947058009251E-4</v>
      </c>
      <c r="Q204" s="287">
        <f t="shared" ref="Q204:S204" si="375">Q99 * (1 - Q$114)</f>
        <v>9.542410294211968E-4</v>
      </c>
      <c r="R204" s="287">
        <f t="shared" si="375"/>
        <v>-7.508959051871208E-4</v>
      </c>
      <c r="S204" s="287">
        <f t="shared" si="375"/>
        <v>-7.2930242368359508E-4</v>
      </c>
      <c r="T204" s="287">
        <f t="shared" ref="T204:U204" si="376">T99 * (1 - T$114)</f>
        <v>-7.508959051871208E-4</v>
      </c>
      <c r="U204" s="287">
        <f t="shared" si="376"/>
        <v>-7.508959051871208E-4</v>
      </c>
      <c r="V204" s="287">
        <f t="shared" ref="V204:W204" si="377">V99 * (1 - V$114)</f>
        <v>-7.2930242368359508E-4</v>
      </c>
      <c r="W204" s="287">
        <f t="shared" si="377"/>
        <v>-7.2930242368359508E-4</v>
      </c>
      <c r="X204" s="287">
        <f t="shared" ref="X204:Y204" si="378">X99 * (1 - X$114)</f>
        <v>-7.2164022056944071E-4</v>
      </c>
      <c r="Y204" s="287">
        <f t="shared" si="378"/>
        <v>-7.2164022056944071E-4</v>
      </c>
      <c r="Z204" s="269"/>
      <c r="AA204" s="269"/>
    </row>
    <row r="205" spans="4:27" x14ac:dyDescent="0.25">
      <c r="F205" t="s">
        <v>194</v>
      </c>
      <c r="G205" t="s">
        <v>269</v>
      </c>
      <c r="H205" s="269"/>
      <c r="I205" s="269"/>
      <c r="J205" s="287">
        <f t="shared" ref="J205:K205" si="379">J100 * (1 - J$115)</f>
        <v>3.2312295853686398E-3</v>
      </c>
      <c r="K205" s="287">
        <f t="shared" si="379"/>
        <v>3.2312295853686398E-3</v>
      </c>
      <c r="L205" s="287">
        <f t="shared" ref="L205:M205" si="380">L100 * (1 - L$115)</f>
        <v>2.7989996616797149E-3</v>
      </c>
      <c r="M205" s="287">
        <f t="shared" si="380"/>
        <v>2.7989996616797149E-3</v>
      </c>
      <c r="N205" s="287">
        <f t="shared" ref="N205:P205" si="381">N100 * (1 - N$115)</f>
        <v>2.3794116286974393E-3</v>
      </c>
      <c r="O205" s="287">
        <f t="shared" si="381"/>
        <v>2.1261019416925378E-3</v>
      </c>
      <c r="P205" s="287">
        <f t="shared" si="381"/>
        <v>1.5331410004703159E-3</v>
      </c>
      <c r="Q205" s="287">
        <f t="shared" ref="Q205:S205" si="382">Q100 * (1 - Q$115)</f>
        <v>2.4797400178916138E-3</v>
      </c>
      <c r="R205" s="287">
        <f t="shared" si="382"/>
        <v>-1.9513168769245634E-3</v>
      </c>
      <c r="S205" s="287">
        <f t="shared" si="382"/>
        <v>-1.8952029407606843E-3</v>
      </c>
      <c r="T205" s="287">
        <f t="shared" ref="T205:U205" si="383">T100 * (1 - T$115)</f>
        <v>-1.9513168769245634E-3</v>
      </c>
      <c r="U205" s="287">
        <f t="shared" si="383"/>
        <v>-1.9513168769245634E-3</v>
      </c>
      <c r="V205" s="287">
        <f t="shared" ref="V205:W205" si="384">V100 * (1 - V$115)</f>
        <v>-1.8952029407606843E-3</v>
      </c>
      <c r="W205" s="287">
        <f t="shared" si="384"/>
        <v>-1.8952029407606843E-3</v>
      </c>
      <c r="X205" s="287">
        <f t="shared" ref="X205:Y205" si="385">X100 * (1 - X$115)</f>
        <v>-1.8752915440573724E-3</v>
      </c>
      <c r="Y205" s="287">
        <f t="shared" si="385"/>
        <v>-1.8752915440573724E-3</v>
      </c>
      <c r="Z205" s="269"/>
      <c r="AA205" s="269"/>
    </row>
    <row r="206" spans="4:27" x14ac:dyDescent="0.25">
      <c r="F206" t="s">
        <v>195</v>
      </c>
      <c r="G206" t="s">
        <v>269</v>
      </c>
      <c r="H206" s="269"/>
      <c r="I206" s="269"/>
      <c r="J206" s="287">
        <f t="shared" ref="J206:K206" si="386">J101 * (1 - J$116)</f>
        <v>5.1981255109443143E-3</v>
      </c>
      <c r="K206" s="287">
        <f t="shared" si="386"/>
        <v>5.1981255109443143E-3</v>
      </c>
      <c r="L206" s="287">
        <f t="shared" ref="L206:M206" si="387">L101 * (1 - L$116)</f>
        <v>4.5027910156504461E-3</v>
      </c>
      <c r="M206" s="287">
        <f t="shared" si="387"/>
        <v>4.5027910156504461E-3</v>
      </c>
      <c r="N206" s="287">
        <f t="shared" ref="N206:P206" si="388">N101 * (1 - N$116)</f>
        <v>3.8277937117732362E-3</v>
      </c>
      <c r="O206" s="287">
        <f t="shared" si="388"/>
        <v>3.4202907747638007E-3</v>
      </c>
      <c r="P206" s="287">
        <f t="shared" si="388"/>
        <v>0</v>
      </c>
      <c r="Q206" s="287">
        <f t="shared" ref="Q206:S206" si="389">Q101 * (1 - Q$116)</f>
        <v>3.9891934345610202E-3</v>
      </c>
      <c r="R206" s="287">
        <f t="shared" si="389"/>
        <v>-3.1391115270196926E-3</v>
      </c>
      <c r="S206" s="287">
        <f t="shared" si="389"/>
        <v>-3.0488402307881422E-3</v>
      </c>
      <c r="T206" s="287">
        <f t="shared" ref="T206:U206" si="390">T101 * (1 - T$116)</f>
        <v>-3.1391115270196926E-3</v>
      </c>
      <c r="U206" s="287">
        <f t="shared" si="390"/>
        <v>-3.1391115270196926E-3</v>
      </c>
      <c r="V206" s="287">
        <f t="shared" ref="V206:W206" si="391">V101 * (1 - V$116)</f>
        <v>-3.0488402307881422E-3</v>
      </c>
      <c r="W206" s="287">
        <f t="shared" si="391"/>
        <v>-3.0488402307881422E-3</v>
      </c>
      <c r="X206" s="287">
        <f t="shared" ref="X206:Y206" si="392">X101 * (1 - X$116)</f>
        <v>-3.0168084805124312E-3</v>
      </c>
      <c r="Y206" s="287">
        <f t="shared" si="392"/>
        <v>-3.0168084805124312E-3</v>
      </c>
      <c r="Z206" s="269"/>
      <c r="AA206" s="269"/>
    </row>
    <row r="207" spans="4:27" x14ac:dyDescent="0.25">
      <c r="F207" t="s">
        <v>196</v>
      </c>
      <c r="G207" t="s">
        <v>269</v>
      </c>
      <c r="H207" s="269"/>
      <c r="I207" s="269"/>
      <c r="J207" s="287">
        <f t="shared" ref="J207:K207" si="393">J102 * (1 - J$117)</f>
        <v>2.0808563100552704E-4</v>
      </c>
      <c r="K207" s="287">
        <f t="shared" si="393"/>
        <v>2.0808563100552704E-4</v>
      </c>
      <c r="L207" s="287">
        <f t="shared" ref="L207:M207" si="394">L102 * (1 - L$117)</f>
        <v>1.8025076689759029E-4</v>
      </c>
      <c r="M207" s="287">
        <f t="shared" si="394"/>
        <v>1.8025076689759029E-4</v>
      </c>
      <c r="N207" s="287">
        <f t="shared" ref="N207:P207" si="395">N102 * (1 - N$117)</f>
        <v>1.5323001882050074E-4</v>
      </c>
      <c r="O207" s="287">
        <f t="shared" si="395"/>
        <v>1.3691731040172889E-4</v>
      </c>
      <c r="P207" s="287">
        <f t="shared" si="395"/>
        <v>0</v>
      </c>
      <c r="Q207" s="287">
        <f t="shared" ref="Q207:S207" si="396">Q102 * (1 - Q$117)</f>
        <v>1.5969099462604877E-4</v>
      </c>
      <c r="R207" s="287">
        <f t="shared" si="396"/>
        <v>-1.2566145267584207E-4</v>
      </c>
      <c r="S207" s="287">
        <f t="shared" si="396"/>
        <v>-1.2204781164341984E-4</v>
      </c>
      <c r="T207" s="287">
        <f t="shared" ref="T207:U207" si="397">T102 * (1 - T$117)</f>
        <v>-1.2566145267584207E-4</v>
      </c>
      <c r="U207" s="287">
        <f t="shared" si="397"/>
        <v>-1.2566145267584207E-4</v>
      </c>
      <c r="V207" s="287">
        <f t="shared" ref="V207:W207" si="398">V102 * (1 - V$117)</f>
        <v>-1.2204781164341984E-4</v>
      </c>
      <c r="W207" s="287">
        <f t="shared" si="398"/>
        <v>-1.2204781164341984E-4</v>
      </c>
      <c r="X207" s="287">
        <f t="shared" ref="X207:Y207" si="399">X102 * (1 - X$117)</f>
        <v>-1.207655519222378E-4</v>
      </c>
      <c r="Y207" s="287">
        <f t="shared" si="399"/>
        <v>-1.207655519222378E-4</v>
      </c>
      <c r="Z207" s="269"/>
      <c r="AA207" s="269"/>
    </row>
    <row r="208" spans="4:27" x14ac:dyDescent="0.25">
      <c r="F208" t="s">
        <v>197</v>
      </c>
      <c r="G208" t="s">
        <v>269</v>
      </c>
      <c r="H208" s="269"/>
      <c r="I208" s="269"/>
      <c r="J208" s="287">
        <f t="shared" ref="J208:K208" si="400">J103 * (1 - J$118)</f>
        <v>1.1975591206653358E-2</v>
      </c>
      <c r="K208" s="287">
        <f t="shared" si="400"/>
        <v>1.1975591206653358E-2</v>
      </c>
      <c r="L208" s="287">
        <f t="shared" ref="L208:M208" si="401">L103 * (1 - L$118)</f>
        <v>1.0373659577647489E-2</v>
      </c>
      <c r="M208" s="287">
        <f t="shared" si="401"/>
        <v>1.0373659577647489E-2</v>
      </c>
      <c r="N208" s="287">
        <f t="shared" ref="N208:P208" si="402">N103 * (1 - N$118)</f>
        <v>7.0548650845896291E-3</v>
      </c>
      <c r="O208" s="287">
        <f t="shared" si="402"/>
        <v>0</v>
      </c>
      <c r="P208" s="287">
        <f t="shared" si="402"/>
        <v>0</v>
      </c>
      <c r="Q208" s="287">
        <f t="shared" ref="Q208:S208" si="403">Q103 * (1 - Q$118)</f>
        <v>9.1904186838092754E-3</v>
      </c>
      <c r="R208" s="287">
        <f t="shared" si="403"/>
        <v>-7.2319755112746336E-3</v>
      </c>
      <c r="S208" s="287">
        <f t="shared" si="403"/>
        <v>-7.024005900096976E-3</v>
      </c>
      <c r="T208" s="287">
        <f t="shared" ref="T208:U208" si="404">T103 * (1 - T$118)</f>
        <v>-7.2319755112746336E-3</v>
      </c>
      <c r="U208" s="287">
        <f t="shared" si="404"/>
        <v>-7.2319755112746336E-3</v>
      </c>
      <c r="V208" s="287">
        <f t="shared" ref="V208:W208" si="405">V103 * (1 - V$118)</f>
        <v>-7.024005900096976E-3</v>
      </c>
      <c r="W208" s="287">
        <f t="shared" si="405"/>
        <v>-7.024005900096976E-3</v>
      </c>
      <c r="X208" s="287">
        <f t="shared" ref="X208:Y208" si="406">X103 * (1 - X$118)</f>
        <v>0</v>
      </c>
      <c r="Y208" s="287">
        <f t="shared" si="406"/>
        <v>0</v>
      </c>
      <c r="Z208" s="269"/>
      <c r="AA208" s="269"/>
    </row>
    <row r="209" spans="2:27" x14ac:dyDescent="0.25">
      <c r="F209" t="s">
        <v>198</v>
      </c>
      <c r="G209" t="s">
        <v>269</v>
      </c>
      <c r="H209" s="269"/>
      <c r="I209" s="269"/>
      <c r="J209" s="287">
        <f t="shared" ref="J209:K209" si="407">J104 * (1 - J$119)</f>
        <v>5.4818525212999725E-3</v>
      </c>
      <c r="K209" s="287">
        <f t="shared" si="407"/>
        <v>5.4818525212999725E-3</v>
      </c>
      <c r="L209" s="287">
        <f t="shared" ref="L209:M209" si="408">L104 * (1 - L$119)</f>
        <v>4.7485648874888613E-3</v>
      </c>
      <c r="M209" s="287">
        <f t="shared" si="408"/>
        <v>4.7485648874888613E-3</v>
      </c>
      <c r="N209" s="287">
        <f t="shared" ref="N209:P209" si="409">N104 * (1 - N$119)</f>
        <v>0</v>
      </c>
      <c r="O209" s="287">
        <f t="shared" si="409"/>
        <v>0</v>
      </c>
      <c r="P209" s="287">
        <f t="shared" si="409"/>
        <v>0</v>
      </c>
      <c r="Q209" s="287">
        <f t="shared" ref="Q209:S209" si="410">Q104 * (1 - Q$119)</f>
        <v>4.2069338343523307E-3</v>
      </c>
      <c r="R209" s="287">
        <f t="shared" si="410"/>
        <v>-3.3104522779998443E-3</v>
      </c>
      <c r="S209" s="287">
        <f t="shared" si="410"/>
        <v>0</v>
      </c>
      <c r="T209" s="287">
        <f t="shared" ref="T209:U209" si="411">T104 * (1 - T$119)</f>
        <v>-3.3104522779998443E-3</v>
      </c>
      <c r="U209" s="287">
        <f t="shared" si="411"/>
        <v>-3.3104522779998443E-3</v>
      </c>
      <c r="V209" s="287">
        <f t="shared" ref="V209:W209" si="412">V104 * (1 - V$119)</f>
        <v>0</v>
      </c>
      <c r="W209" s="287">
        <f t="shared" si="412"/>
        <v>0</v>
      </c>
      <c r="X209" s="287">
        <f t="shared" ref="X209:Y209" si="413">X104 * (1 - X$119)</f>
        <v>0</v>
      </c>
      <c r="Y209" s="287">
        <f t="shared" si="413"/>
        <v>0</v>
      </c>
      <c r="Z209" s="269"/>
      <c r="AA209" s="269"/>
    </row>
    <row r="210" spans="2:27" x14ac:dyDescent="0.25">
      <c r="F210" t="s">
        <v>199</v>
      </c>
      <c r="G210" t="s">
        <v>269</v>
      </c>
      <c r="H210" s="269"/>
      <c r="I210" s="269"/>
      <c r="J210" s="287">
        <f t="shared" ref="J210:K210" si="414">J105 * (1 - J$120)</f>
        <v>0</v>
      </c>
      <c r="K210" s="287">
        <f t="shared" si="414"/>
        <v>0</v>
      </c>
      <c r="L210" s="287">
        <f t="shared" ref="L210:M210" si="415">L105 * (1 - L$120)</f>
        <v>0</v>
      </c>
      <c r="M210" s="287">
        <f t="shared" si="415"/>
        <v>0</v>
      </c>
      <c r="N210" s="287">
        <f t="shared" ref="N210:P210" si="416">N105 * (1 - N$120)</f>
        <v>0</v>
      </c>
      <c r="O210" s="287">
        <f t="shared" si="416"/>
        <v>0</v>
      </c>
      <c r="P210" s="287">
        <f t="shared" si="416"/>
        <v>0</v>
      </c>
      <c r="Q210" s="287">
        <f t="shared" ref="Q210:S210" si="417">Q105 * (1 - Q$120)</f>
        <v>8.3852882481938902E-3</v>
      </c>
      <c r="R210" s="287">
        <f t="shared" si="417"/>
        <v>0</v>
      </c>
      <c r="S210" s="287">
        <f t="shared" si="417"/>
        <v>0</v>
      </c>
      <c r="T210" s="287">
        <f t="shared" ref="T210:U210" si="418">T105 * (1 - T$120)</f>
        <v>0</v>
      </c>
      <c r="U210" s="287">
        <f t="shared" si="418"/>
        <v>0</v>
      </c>
      <c r="V210" s="287">
        <f t="shared" ref="V210:W210" si="419">V105 * (1 - V$120)</f>
        <v>0</v>
      </c>
      <c r="W210" s="287">
        <f t="shared" si="419"/>
        <v>0</v>
      </c>
      <c r="X210" s="287">
        <f t="shared" ref="X210:Y210" si="420">X105 * (1 - X$120)</f>
        <v>0</v>
      </c>
      <c r="Y210" s="287">
        <f t="shared" si="420"/>
        <v>0</v>
      </c>
      <c r="Z210" s="269"/>
      <c r="AA210" s="269"/>
    </row>
    <row r="211" spans="2:27" x14ac:dyDescent="0.25">
      <c r="D211"/>
      <c r="F211" s="23" t="s">
        <v>376</v>
      </c>
      <c r="G211" s="23" t="s">
        <v>269</v>
      </c>
      <c r="H211" s="267"/>
      <c r="I211" s="267" t="s">
        <v>154</v>
      </c>
      <c r="J211" s="285"/>
      <c r="K211" s="285"/>
      <c r="L211" s="285"/>
      <c r="M211" s="285"/>
      <c r="N211" s="285"/>
      <c r="O211" s="285"/>
      <c r="P211" s="285"/>
      <c r="Q211" s="286">
        <f>Q106</f>
        <v>0.79060175753563178</v>
      </c>
      <c r="R211" s="285"/>
      <c r="S211" s="285"/>
      <c r="T211" s="285"/>
      <c r="U211" s="285"/>
      <c r="V211" s="285"/>
      <c r="W211" s="285"/>
      <c r="X211" s="285"/>
      <c r="Y211" s="285"/>
      <c r="Z211" s="269"/>
      <c r="AA211" s="269" t="s">
        <v>654</v>
      </c>
    </row>
    <row r="212" spans="2:27" x14ac:dyDescent="0.25">
      <c r="D212"/>
      <c r="F212" s="37" t="s">
        <v>377</v>
      </c>
      <c r="G212" s="37" t="s">
        <v>269</v>
      </c>
      <c r="H212" s="273"/>
      <c r="I212" s="273"/>
      <c r="J212" s="274"/>
      <c r="K212" s="274"/>
      <c r="L212" s="274"/>
      <c r="M212" s="274"/>
      <c r="N212" s="274"/>
      <c r="O212" s="274"/>
      <c r="P212" s="274"/>
      <c r="Q212" s="274"/>
      <c r="R212" s="274"/>
      <c r="S212" s="274"/>
      <c r="T212" s="274"/>
      <c r="U212" s="274"/>
      <c r="V212" s="274"/>
      <c r="W212" s="274"/>
      <c r="X212" s="274"/>
      <c r="Y212" s="274"/>
      <c r="Z212" s="269"/>
      <c r="AA212" s="269"/>
    </row>
    <row r="213" spans="2:27" x14ac:dyDescent="0.25">
      <c r="J213" s="89"/>
      <c r="K213" s="89"/>
      <c r="L213" s="89"/>
      <c r="M213" s="89"/>
      <c r="N213" s="89"/>
      <c r="O213" s="89"/>
      <c r="P213" s="89"/>
      <c r="Q213" s="89"/>
      <c r="R213" s="89"/>
      <c r="S213" s="89"/>
      <c r="T213" s="89"/>
      <c r="U213" s="89"/>
      <c r="V213" s="89"/>
      <c r="W213" s="89"/>
      <c r="X213" s="89"/>
      <c r="Y213" s="89"/>
    </row>
    <row r="214" spans="2:27" x14ac:dyDescent="0.25">
      <c r="C214" s="31" t="str">
        <f ca="1">INDEX('Version control'!$H$34:$H$57,MATCH($A$1,'Version control'!$F$34:$F$57,0),1)&amp;"-H: Unit rates, post application of standing charges"</f>
        <v>Section 111-H: Unit rates, post application of standing charges</v>
      </c>
      <c r="D214" s="31"/>
      <c r="E214" s="31"/>
      <c r="F214" s="31"/>
      <c r="G214" s="31"/>
      <c r="H214" s="31"/>
      <c r="I214" s="31"/>
      <c r="J214" s="90"/>
      <c r="K214" s="90"/>
      <c r="L214" s="90"/>
      <c r="M214" s="90"/>
      <c r="N214" s="90"/>
      <c r="O214" s="90"/>
      <c r="P214" s="90"/>
      <c r="Q214" s="90"/>
      <c r="R214" s="90"/>
      <c r="S214" s="90"/>
      <c r="T214" s="90"/>
      <c r="U214" s="90"/>
      <c r="V214" s="90"/>
      <c r="W214" s="90"/>
      <c r="X214" s="90"/>
      <c r="Y214" s="90"/>
      <c r="Z214" s="31"/>
      <c r="AA214" s="31"/>
    </row>
    <row r="215" spans="2:27" x14ac:dyDescent="0.25">
      <c r="J215" s="89"/>
      <c r="K215" s="89"/>
      <c r="L215" s="89"/>
      <c r="M215" s="89"/>
      <c r="N215" s="89"/>
      <c r="O215" s="89"/>
      <c r="P215" s="89"/>
      <c r="Q215" s="89"/>
      <c r="R215" s="89"/>
      <c r="S215" s="89"/>
      <c r="T215" s="89"/>
      <c r="U215" s="89"/>
      <c r="V215" s="89"/>
      <c r="W215" s="89"/>
      <c r="X215" s="89"/>
      <c r="Y215" s="89"/>
      <c r="AA215" s="3"/>
    </row>
    <row r="216" spans="2:27" x14ac:dyDescent="0.25">
      <c r="D216"/>
      <c r="E216" s="32" t="s">
        <v>657</v>
      </c>
      <c r="F216" s="2"/>
      <c r="J216" s="89"/>
      <c r="K216" s="89"/>
      <c r="L216" s="89"/>
      <c r="M216" s="89"/>
      <c r="N216" s="89"/>
      <c r="O216" s="89"/>
      <c r="P216" s="89"/>
      <c r="Q216" s="89"/>
      <c r="R216" s="89"/>
      <c r="S216" s="89"/>
      <c r="T216" s="89"/>
      <c r="U216" s="89"/>
      <c r="V216" s="89"/>
      <c r="W216" s="89"/>
      <c r="X216" s="89"/>
      <c r="Y216" s="89"/>
      <c r="AA216" s="3"/>
    </row>
    <row r="217" spans="2:27" x14ac:dyDescent="0.25">
      <c r="D217"/>
      <c r="F217" s="23" t="s">
        <v>658</v>
      </c>
      <c r="G217" s="23" t="s">
        <v>269</v>
      </c>
      <c r="H217" s="267"/>
      <c r="I217" s="267"/>
      <c r="J217" s="276">
        <f t="shared" ref="J217:K217" si="421">SUM(J127:J138,J141:J152)</f>
        <v>7.8691541236145142</v>
      </c>
      <c r="K217" s="276">
        <f t="shared" si="421"/>
        <v>7.8691541236145142</v>
      </c>
      <c r="L217" s="276">
        <f t="shared" ref="L217:M217" si="422">SUM(L127:L138,L141:L152)</f>
        <v>6.8165257676017825</v>
      </c>
      <c r="M217" s="276">
        <f t="shared" si="422"/>
        <v>6.8165257676017825</v>
      </c>
      <c r="N217" s="276">
        <f t="shared" ref="N217:P217" si="423">SUM(N127:N138,N141:N152)</f>
        <v>4.9279316341979271</v>
      </c>
      <c r="O217" s="276">
        <f t="shared" si="423"/>
        <v>3.3100709696873514</v>
      </c>
      <c r="P217" s="276">
        <f t="shared" si="423"/>
        <v>2.0294324650108937</v>
      </c>
      <c r="Q217" s="276">
        <f t="shared" ref="Q217:S217" si="424">SUM(Q127:Q138,Q141:Q152)</f>
        <v>20.888686876550693</v>
      </c>
      <c r="R217" s="276">
        <f t="shared" si="424"/>
        <v>-4.752126966792952</v>
      </c>
      <c r="S217" s="276">
        <f t="shared" si="424"/>
        <v>-4.1687283895347562</v>
      </c>
      <c r="T217" s="276">
        <f t="shared" ref="T217:U217" si="425">SUM(T127:T138,T141:T152)</f>
        <v>-4.752126966792952</v>
      </c>
      <c r="U217" s="276">
        <f t="shared" si="425"/>
        <v>-4.752126966792952</v>
      </c>
      <c r="V217" s="276">
        <f t="shared" ref="V217:W217" si="426">SUM(V127:V138,V141:V152)</f>
        <v>-4.1687283895347562</v>
      </c>
      <c r="W217" s="276">
        <f t="shared" si="426"/>
        <v>-4.1687283895347562</v>
      </c>
      <c r="X217" s="276">
        <f t="shared" ref="X217:Y217" si="427">SUM(X127:X138,X141:X152)</f>
        <v>-2.7260556362386072</v>
      </c>
      <c r="Y217" s="276">
        <f t="shared" si="427"/>
        <v>-2.7260556362386072</v>
      </c>
      <c r="Z217" s="269"/>
      <c r="AA217" s="269"/>
    </row>
    <row r="218" spans="2:27" x14ac:dyDescent="0.25">
      <c r="D218"/>
      <c r="F218" t="s">
        <v>659</v>
      </c>
      <c r="G218" t="s">
        <v>269</v>
      </c>
      <c r="H218" s="269"/>
      <c r="I218" s="269"/>
      <c r="J218" s="277">
        <f t="shared" ref="J218:K218" si="428">SUM(J157:J168,J171:J182)</f>
        <v>0.99456313995064261</v>
      </c>
      <c r="K218" s="277">
        <f t="shared" si="428"/>
        <v>0.99456313995064261</v>
      </c>
      <c r="L218" s="277">
        <f t="shared" ref="L218:M218" si="429">SUM(L157:L168,L171:L182)</f>
        <v>0.86152401700152526</v>
      </c>
      <c r="M218" s="277">
        <f t="shared" si="429"/>
        <v>0.86152401700152526</v>
      </c>
      <c r="N218" s="277">
        <f t="shared" ref="N218:P218" si="430">SUM(N157:N168,N171:N182)</f>
        <v>0.59969852693012982</v>
      </c>
      <c r="O218" s="277">
        <f t="shared" si="430"/>
        <v>0.3685087304672886</v>
      </c>
      <c r="P218" s="277">
        <f t="shared" si="430"/>
        <v>0.19154306505018537</v>
      </c>
      <c r="Q218" s="277">
        <f t="shared" ref="Q218:S218" si="431">SUM(Q157:Q168,Q171:Q182)</f>
        <v>1.6138430534096508</v>
      </c>
      <c r="R218" s="277">
        <f t="shared" si="431"/>
        <v>-0.6006097025542575</v>
      </c>
      <c r="S218" s="277">
        <f t="shared" si="431"/>
        <v>-0.51495336021881366</v>
      </c>
      <c r="T218" s="277">
        <f t="shared" ref="T218:U218" si="432">SUM(T157:T168,T171:T182)</f>
        <v>-0.6006097025542575</v>
      </c>
      <c r="U218" s="277">
        <f t="shared" si="432"/>
        <v>-0.6006097025542575</v>
      </c>
      <c r="V218" s="277">
        <f t="shared" ref="V218:W218" si="433">SUM(V157:V168,V171:V182)</f>
        <v>-0.51495336021881366</v>
      </c>
      <c r="W218" s="277">
        <f t="shared" si="433"/>
        <v>-0.51495336021881366</v>
      </c>
      <c r="X218" s="277">
        <f t="shared" ref="X218:Y218" si="434">SUM(X157:X168,X171:X182)</f>
        <v>-0.29638866966229255</v>
      </c>
      <c r="Y218" s="277">
        <f t="shared" si="434"/>
        <v>-0.29638866966229255</v>
      </c>
      <c r="Z218" s="269"/>
      <c r="AA218" s="269"/>
    </row>
    <row r="219" spans="2:27" x14ac:dyDescent="0.25">
      <c r="D219"/>
      <c r="F219" s="37" t="s">
        <v>660</v>
      </c>
      <c r="G219" s="37" t="s">
        <v>269</v>
      </c>
      <c r="H219" s="273"/>
      <c r="I219" s="273"/>
      <c r="J219" s="278">
        <f t="shared" ref="J219:K219" si="435">SUM(J187:J198,J201:J212)</f>
        <v>6.1367116408771211E-2</v>
      </c>
      <c r="K219" s="278">
        <f t="shared" si="435"/>
        <v>6.1367116408771211E-2</v>
      </c>
      <c r="L219" s="278">
        <f t="shared" ref="L219:M219" si="436">SUM(L187:L198,L201:L212)</f>
        <v>5.3158258653048969E-2</v>
      </c>
      <c r="M219" s="278">
        <f t="shared" si="436"/>
        <v>5.3158258653048969E-2</v>
      </c>
      <c r="N219" s="278">
        <f t="shared" ref="N219:P219" si="437">SUM(N187:N198,N201:N212)</f>
        <v>3.6091446122796002E-2</v>
      </c>
      <c r="O219" s="278">
        <f t="shared" si="437"/>
        <v>2.0773794392874644E-2</v>
      </c>
      <c r="P219" s="278">
        <f t="shared" si="437"/>
        <v>9.2689579954535039E-3</v>
      </c>
      <c r="Q219" s="278">
        <f t="shared" ref="Q219:S219" si="438">SUM(Q187:Q198,Q201:Q212)</f>
        <v>0.84689138056547619</v>
      </c>
      <c r="R219" s="278">
        <f t="shared" si="438"/>
        <v>-3.7059171059480152E-2</v>
      </c>
      <c r="S219" s="278">
        <f t="shared" si="438"/>
        <v>-3.1304146471503695E-2</v>
      </c>
      <c r="T219" s="278">
        <f t="shared" ref="T219:U219" si="439">SUM(T187:T198,T201:T212)</f>
        <v>-3.7059171059480152E-2</v>
      </c>
      <c r="U219" s="278">
        <f t="shared" si="439"/>
        <v>-3.7059171059480152E-2</v>
      </c>
      <c r="V219" s="278">
        <f t="shared" ref="V219:W219" si="440">SUM(V187:V198,V201:V212)</f>
        <v>-3.1304146471503695E-2</v>
      </c>
      <c r="W219" s="278">
        <f t="shared" si="440"/>
        <v>-3.1304146471503695E-2</v>
      </c>
      <c r="X219" s="278">
        <f t="shared" ref="X219:Y219" si="441">SUM(X187:X198,X201:X212)</f>
        <v>-1.6392243650649556E-2</v>
      </c>
      <c r="Y219" s="278">
        <f t="shared" si="441"/>
        <v>-1.6392243650649556E-2</v>
      </c>
      <c r="Z219" s="269"/>
      <c r="AA219" s="269"/>
    </row>
    <row r="221" spans="2:27" x14ac:dyDescent="0.25">
      <c r="B221" s="30" t="s">
        <v>231</v>
      </c>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row>
    <row r="222" spans="2:27" x14ac:dyDescent="0.25">
      <c r="AA222" s="3"/>
    </row>
    <row r="223" spans="2:27" x14ac:dyDescent="0.25">
      <c r="E223" t="s">
        <v>232</v>
      </c>
      <c r="G223" s="6" t="s">
        <v>55</v>
      </c>
      <c r="H223" s="26">
        <f t="array" ref="H223">SUM(IF(ISERROR(H22:Y219), 1))</f>
        <v>0</v>
      </c>
      <c r="AA223" s="3"/>
    </row>
    <row r="225" spans="2:27" x14ac:dyDescent="0.25">
      <c r="B225" s="30" t="s">
        <v>106</v>
      </c>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row>
    <row r="226" spans="2:27" x14ac:dyDescent="0.25">
      <c r="AA226" s="3"/>
    </row>
    <row r="228" spans="2:27" x14ac:dyDescent="0.25">
      <c r="AA228" s="3"/>
    </row>
    <row r="229" spans="2:27" x14ac:dyDescent="0.25">
      <c r="J229" s="63"/>
      <c r="L229" s="63"/>
    </row>
    <row r="230" spans="2:27" x14ac:dyDescent="0.25">
      <c r="J230" s="63"/>
      <c r="L230" s="63"/>
    </row>
    <row r="231" spans="2:27" x14ac:dyDescent="0.25">
      <c r="J231" s="63"/>
      <c r="L231" s="63"/>
    </row>
    <row r="232" spans="2:27" x14ac:dyDescent="0.25">
      <c r="J232" s="63"/>
      <c r="L232" s="63"/>
    </row>
    <row r="233" spans="2:27" x14ac:dyDescent="0.25">
      <c r="J233" s="63"/>
      <c r="L233" s="63"/>
    </row>
    <row r="234" spans="2:27" x14ac:dyDescent="0.25">
      <c r="J234" s="63"/>
      <c r="L234" s="63"/>
    </row>
    <row r="235" spans="2:27" x14ac:dyDescent="0.25">
      <c r="J235" s="63"/>
      <c r="L235" s="63"/>
    </row>
    <row r="236" spans="2:27" x14ac:dyDescent="0.25">
      <c r="J236" s="63"/>
      <c r="L236" s="63"/>
    </row>
    <row r="237" spans="2:27" x14ac:dyDescent="0.25">
      <c r="J237" s="63"/>
      <c r="L237" s="63"/>
    </row>
    <row r="238" spans="2:27" x14ac:dyDescent="0.25">
      <c r="J238" s="63"/>
      <c r="L238" s="63"/>
    </row>
    <row r="239" spans="2:27" x14ac:dyDescent="0.25">
      <c r="J239" s="63"/>
      <c r="L239" s="63"/>
    </row>
    <row r="240" spans="2:27" x14ac:dyDescent="0.25">
      <c r="J240" s="63"/>
      <c r="L240" s="63"/>
    </row>
    <row r="241" spans="10:12" x14ac:dyDescent="0.25">
      <c r="J241" s="63"/>
      <c r="L241" s="63"/>
    </row>
    <row r="242" spans="10:12" x14ac:dyDescent="0.25">
      <c r="J242" s="63"/>
      <c r="L242" s="63"/>
    </row>
    <row r="243" spans="10:12" x14ac:dyDescent="0.25">
      <c r="J243" s="63"/>
      <c r="L243" s="63"/>
    </row>
    <row r="244" spans="10:12" x14ac:dyDescent="0.25">
      <c r="J244" s="63"/>
      <c r="L244" s="63"/>
    </row>
    <row r="245" spans="10:12" x14ac:dyDescent="0.25">
      <c r="J245" s="63"/>
      <c r="L245" s="63"/>
    </row>
    <row r="246" spans="10:12" x14ac:dyDescent="0.25">
      <c r="J246" s="63"/>
      <c r="L246" s="63"/>
    </row>
    <row r="247" spans="10:12" x14ac:dyDescent="0.25">
      <c r="J247" s="63"/>
      <c r="L247" s="63"/>
    </row>
    <row r="248" spans="10:12" x14ac:dyDescent="0.25">
      <c r="J248" s="63"/>
      <c r="L248" s="63"/>
    </row>
    <row r="249" spans="10:12" x14ac:dyDescent="0.25">
      <c r="J249" s="63"/>
      <c r="L249" s="63"/>
    </row>
    <row r="250" spans="10:12" x14ac:dyDescent="0.25">
      <c r="J250" s="63"/>
      <c r="L250" s="63"/>
    </row>
    <row r="251" spans="10:12" x14ac:dyDescent="0.25">
      <c r="J251" s="63"/>
      <c r="L251" s="63"/>
    </row>
    <row r="252" spans="10:12" x14ac:dyDescent="0.25">
      <c r="J252" s="63"/>
      <c r="L252" s="63"/>
    </row>
    <row r="253" spans="10:12" x14ac:dyDescent="0.25">
      <c r="J253" s="63"/>
      <c r="L253" s="63"/>
    </row>
    <row r="254" spans="10:12" x14ac:dyDescent="0.25">
      <c r="J254" s="63"/>
      <c r="L254" s="63"/>
    </row>
    <row r="255" spans="10:12" x14ac:dyDescent="0.25">
      <c r="J255" s="63"/>
      <c r="L255" s="63"/>
    </row>
    <row r="256" spans="10:12" x14ac:dyDescent="0.25">
      <c r="J256" s="63"/>
      <c r="L256" s="63"/>
    </row>
    <row r="257" spans="10:12" x14ac:dyDescent="0.25">
      <c r="J257" s="63"/>
      <c r="L257" s="63"/>
    </row>
    <row r="258" spans="10:12" x14ac:dyDescent="0.25">
      <c r="J258" s="63"/>
      <c r="L258" s="63"/>
    </row>
    <row r="259" spans="10:12" x14ac:dyDescent="0.25">
      <c r="J259" s="63"/>
      <c r="L259" s="63"/>
    </row>
    <row r="260" spans="10:12" x14ac:dyDescent="0.25">
      <c r="J260" s="63"/>
      <c r="L260" s="63"/>
    </row>
    <row r="261" spans="10:12" x14ac:dyDescent="0.25">
      <c r="J261" s="63"/>
      <c r="L261" s="63"/>
    </row>
  </sheetData>
  <sheetProtection sheet="1" objects="1" formatCells="0" formatColumns="0" formatRows="0" sort="0" autoFilter="0"/>
  <conditionalFormatting sqref="H223">
    <cfRule type="cellIs" dxfId="89" priority="10" operator="greaterThan">
      <formula>0</formula>
    </cfRule>
  </conditionalFormatting>
  <conditionalFormatting sqref="A4:I4 Z4:XFD4">
    <cfRule type="expression" dxfId="88" priority="9">
      <formula>LEFT($A$4,1) &lt;&gt; "0"</formula>
    </cfRule>
  </conditionalFormatting>
  <conditionalFormatting sqref="N4:P4">
    <cfRule type="expression" dxfId="87" priority="8">
      <formula>LEFT($A$4,1) &lt;&gt; "0"</formula>
    </cfRule>
  </conditionalFormatting>
  <conditionalFormatting sqref="L4:M4">
    <cfRule type="expression" dxfId="86" priority="7">
      <formula>LEFT($A$4,1) &lt;&gt; "0"</formula>
    </cfRule>
  </conditionalFormatting>
  <conditionalFormatting sqref="J4:K4">
    <cfRule type="expression" dxfId="85" priority="6">
      <formula>LEFT($A$4,1) &lt;&gt; "0"</formula>
    </cfRule>
  </conditionalFormatting>
  <conditionalFormatting sqref="Q4">
    <cfRule type="expression" dxfId="84" priority="5">
      <formula>LEFT($A$4,1) &lt;&gt; "0"</formula>
    </cfRule>
  </conditionalFormatting>
  <conditionalFormatting sqref="R4:S4">
    <cfRule type="expression" dxfId="83" priority="4">
      <formula>LEFT($A$4,1) &lt;&gt; "0"</formula>
    </cfRule>
  </conditionalFormatting>
  <conditionalFormatting sqref="T4:U4">
    <cfRule type="expression" dxfId="82" priority="3">
      <formula>LEFT($A$4,1) &lt;&gt; "0"</formula>
    </cfRule>
  </conditionalFormatting>
  <conditionalFormatting sqref="V4:W4">
    <cfRule type="expression" dxfId="81" priority="2">
      <formula>LEFT($A$4,1) &lt;&gt; "0"</formula>
    </cfRule>
  </conditionalFormatting>
  <conditionalFormatting sqref="X4:Y4">
    <cfRule type="expression" dxfId="8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KY29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1" width="24.5703125" hidden="1" customWidth="1"/>
    <col min="312"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WPD East Midlands - April 21 Prices</v>
      </c>
    </row>
    <row r="3" spans="1:27" s="5" customFormat="1" x14ac:dyDescent="0.25">
      <c r="A3" s="5" t="str">
        <f>Cover!D2&amp;" - "&amp;Cover!D8&amp;" v"&amp;Cover!D10&amp;" - "&amp;Cover!D19</f>
        <v>CDCM charging model - Release for charge setting v5 - 2021/22</v>
      </c>
    </row>
    <row r="4" spans="1:27" x14ac:dyDescent="0.25">
      <c r="A4" s="12" t="str">
        <f>H254 &amp; IF(H254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661</v>
      </c>
      <c r="D9"/>
    </row>
    <row r="10" spans="1:27" x14ac:dyDescent="0.25">
      <c r="C10" s="29" t="s">
        <v>662</v>
      </c>
      <c r="D10"/>
      <c r="E10"/>
    </row>
    <row r="11" spans="1:27" x14ac:dyDescent="0.25">
      <c r="C11" s="91" t="s">
        <v>663</v>
      </c>
    </row>
    <row r="13" spans="1:27" x14ac:dyDescent="0.25">
      <c r="B13" s="30" t="s">
        <v>664</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5" spans="1:27" x14ac:dyDescent="0.25">
      <c r="C15" s="29" t="s">
        <v>665</v>
      </c>
    </row>
    <row r="17" spans="3:27" x14ac:dyDescent="0.25">
      <c r="C17" s="31" t="str">
        <f ca="1">INDEX('Version control'!$H$34:$H$57,MATCH($A$1,'Version control'!$F$34:$F$57,0),1)&amp;"-A: Inputs to reactive power charge calculations"</f>
        <v>Section 112-A: Inputs to reactive power charge calculations</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3:27" x14ac:dyDescent="0.25">
      <c r="C18" s="32"/>
      <c r="D18"/>
      <c r="E18" s="32"/>
    </row>
    <row r="19" spans="3:27" x14ac:dyDescent="0.25">
      <c r="D19" s="32" t="s">
        <v>285</v>
      </c>
    </row>
    <row r="20" spans="3:27" x14ac:dyDescent="0.25">
      <c r="D20" s="29" t="s">
        <v>666</v>
      </c>
      <c r="E20"/>
    </row>
    <row r="21" spans="3:27" x14ac:dyDescent="0.25">
      <c r="C21" s="88"/>
      <c r="E21" s="23" t="s">
        <v>189</v>
      </c>
      <c r="F21" s="23"/>
      <c r="G21" s="23" t="s">
        <v>667</v>
      </c>
      <c r="H21" s="83"/>
    </row>
    <row r="22" spans="3:27" x14ac:dyDescent="0.25">
      <c r="C22" s="88"/>
      <c r="E22" t="s">
        <v>191</v>
      </c>
      <c r="G22" t="s">
        <v>667</v>
      </c>
      <c r="H22" s="120">
        <f t="array" ref="H22:H30">TRANSPOSE('Inputs by network level'!K21:S21)</f>
        <v>0.22319878444551805</v>
      </c>
    </row>
    <row r="23" spans="3:27" x14ac:dyDescent="0.25">
      <c r="C23" s="88"/>
      <c r="E23" t="s">
        <v>192</v>
      </c>
      <c r="G23" t="s">
        <v>667</v>
      </c>
      <c r="H23" s="120">
        <v>0.22319878444551805</v>
      </c>
    </row>
    <row r="24" spans="3:27" x14ac:dyDescent="0.25">
      <c r="C24" s="88"/>
      <c r="E24" t="s">
        <v>193</v>
      </c>
      <c r="G24" t="s">
        <v>667</v>
      </c>
      <c r="H24" s="120">
        <v>0.22319878444551805</v>
      </c>
    </row>
    <row r="25" spans="3:27" x14ac:dyDescent="0.25">
      <c r="C25" s="88"/>
      <c r="E25" t="s">
        <v>194</v>
      </c>
      <c r="G25" t="s">
        <v>667</v>
      </c>
      <c r="H25" s="120">
        <v>0.22319878444551805</v>
      </c>
    </row>
    <row r="26" spans="3:27" x14ac:dyDescent="0.25">
      <c r="C26" s="88"/>
      <c r="E26" t="s">
        <v>195</v>
      </c>
      <c r="G26" t="s">
        <v>667</v>
      </c>
      <c r="H26" s="120">
        <v>0.22319878444551805</v>
      </c>
    </row>
    <row r="27" spans="3:27" x14ac:dyDescent="0.25">
      <c r="C27" s="88"/>
      <c r="E27" t="s">
        <v>196</v>
      </c>
      <c r="G27" t="s">
        <v>667</v>
      </c>
      <c r="H27" s="120">
        <v>0.22319878444551805</v>
      </c>
    </row>
    <row r="28" spans="3:27" x14ac:dyDescent="0.25">
      <c r="C28" s="88"/>
      <c r="E28" t="s">
        <v>197</v>
      </c>
      <c r="G28" t="s">
        <v>667</v>
      </c>
      <c r="H28" s="120">
        <v>0.22319878444551805</v>
      </c>
    </row>
    <row r="29" spans="3:27" x14ac:dyDescent="0.25">
      <c r="C29" s="88"/>
      <c r="E29" t="s">
        <v>198</v>
      </c>
      <c r="G29" t="s">
        <v>667</v>
      </c>
      <c r="H29" s="120">
        <v>0.22319878444551805</v>
      </c>
    </row>
    <row r="30" spans="3:27" x14ac:dyDescent="0.25">
      <c r="C30" s="88"/>
      <c r="E30" t="s">
        <v>199</v>
      </c>
      <c r="G30" t="s">
        <v>667</v>
      </c>
      <c r="H30" s="120">
        <v>0.22319878444551805</v>
      </c>
    </row>
    <row r="31" spans="3:27" x14ac:dyDescent="0.25">
      <c r="C31" s="88"/>
      <c r="E31" t="s">
        <v>376</v>
      </c>
      <c r="G31" t="s">
        <v>667</v>
      </c>
      <c r="H31" s="79"/>
    </row>
    <row r="32" spans="3:27" x14ac:dyDescent="0.25">
      <c r="C32" s="88"/>
      <c r="E32" s="37" t="s">
        <v>377</v>
      </c>
      <c r="F32" s="37"/>
      <c r="G32" s="37" t="s">
        <v>667</v>
      </c>
      <c r="H32" s="81"/>
    </row>
    <row r="33" spans="3:8" x14ac:dyDescent="0.25">
      <c r="C33" s="88"/>
      <c r="H33" s="89"/>
    </row>
    <row r="34" spans="3:8" x14ac:dyDescent="0.25">
      <c r="D34" s="88" t="s">
        <v>394</v>
      </c>
      <c r="H34" s="89"/>
    </row>
    <row r="35" spans="3:8" x14ac:dyDescent="0.25">
      <c r="C35" s="88"/>
      <c r="E35" s="23" t="s">
        <v>189</v>
      </c>
      <c r="F35" s="23"/>
      <c r="G35" s="64" t="s">
        <v>283</v>
      </c>
      <c r="H35" s="124">
        <f t="array" ref="H35:H44">TRANSPOSE('Load &amp; loss characteristics'!J29:S29)</f>
        <v>1</v>
      </c>
    </row>
    <row r="36" spans="3:8" x14ac:dyDescent="0.25">
      <c r="C36" s="88"/>
      <c r="E36" t="s">
        <v>191</v>
      </c>
      <c r="G36" s="28" t="s">
        <v>283</v>
      </c>
      <c r="H36" s="120">
        <v>1</v>
      </c>
    </row>
    <row r="37" spans="3:8" x14ac:dyDescent="0.25">
      <c r="C37" s="88"/>
      <c r="E37" t="s">
        <v>192</v>
      </c>
      <c r="G37" s="28" t="s">
        <v>283</v>
      </c>
      <c r="H37" s="120">
        <v>1.0029999999999999</v>
      </c>
    </row>
    <row r="38" spans="3:8" x14ac:dyDescent="0.25">
      <c r="C38" s="88"/>
      <c r="E38" t="s">
        <v>193</v>
      </c>
      <c r="G38" s="28" t="s">
        <v>283</v>
      </c>
      <c r="H38" s="120">
        <v>1.006</v>
      </c>
    </row>
    <row r="39" spans="3:8" x14ac:dyDescent="0.25">
      <c r="C39" s="88"/>
      <c r="E39" t="s">
        <v>194</v>
      </c>
      <c r="G39" s="28" t="s">
        <v>283</v>
      </c>
      <c r="H39" s="120">
        <v>1.014</v>
      </c>
    </row>
    <row r="40" spans="3:8" x14ac:dyDescent="0.25">
      <c r="C40" s="88"/>
      <c r="E40" t="s">
        <v>195</v>
      </c>
      <c r="G40" s="28" t="s">
        <v>283</v>
      </c>
      <c r="H40" s="120">
        <v>1.02</v>
      </c>
    </row>
    <row r="41" spans="3:8" x14ac:dyDescent="0.25">
      <c r="C41" s="88"/>
      <c r="E41" t="s">
        <v>196</v>
      </c>
      <c r="G41" s="28" t="s">
        <v>283</v>
      </c>
      <c r="H41" s="120">
        <v>1.02</v>
      </c>
    </row>
    <row r="42" spans="3:8" x14ac:dyDescent="0.25">
      <c r="C42" s="88"/>
      <c r="E42" t="s">
        <v>197</v>
      </c>
      <c r="G42" s="28" t="s">
        <v>283</v>
      </c>
      <c r="H42" s="120">
        <v>1.036</v>
      </c>
    </row>
    <row r="43" spans="3:8" x14ac:dyDescent="0.25">
      <c r="C43" s="88"/>
      <c r="E43" t="s">
        <v>198</v>
      </c>
      <c r="G43" s="28" t="s">
        <v>283</v>
      </c>
      <c r="H43" s="120">
        <v>1.0469999999999999</v>
      </c>
    </row>
    <row r="44" spans="3:8" x14ac:dyDescent="0.25">
      <c r="C44" s="88"/>
      <c r="E44" t="s">
        <v>199</v>
      </c>
      <c r="G44" s="28" t="s">
        <v>283</v>
      </c>
      <c r="H44" s="120">
        <v>1.0780000000000001</v>
      </c>
    </row>
    <row r="45" spans="3:8" x14ac:dyDescent="0.25">
      <c r="C45" s="88"/>
      <c r="E45" t="s">
        <v>376</v>
      </c>
      <c r="G45" s="28" t="s">
        <v>283</v>
      </c>
      <c r="H45" s="79"/>
    </row>
    <row r="46" spans="3:8" x14ac:dyDescent="0.25">
      <c r="C46" s="88"/>
      <c r="E46" s="37" t="s">
        <v>377</v>
      </c>
      <c r="F46" s="37"/>
      <c r="G46" s="67" t="s">
        <v>283</v>
      </c>
      <c r="H46" s="81"/>
    </row>
    <row r="47" spans="3:8" x14ac:dyDescent="0.25">
      <c r="C47" s="88"/>
      <c r="H47" s="89"/>
    </row>
    <row r="48" spans="3:8" x14ac:dyDescent="0.25">
      <c r="D48" s="32" t="s">
        <v>668</v>
      </c>
      <c r="H48" s="89"/>
    </row>
    <row r="49" spans="3:8" x14ac:dyDescent="0.25">
      <c r="C49" s="88"/>
      <c r="E49" s="23" t="s">
        <v>189</v>
      </c>
      <c r="F49" s="23"/>
      <c r="G49" s="23" t="s">
        <v>585</v>
      </c>
      <c r="H49" s="83"/>
    </row>
    <row r="50" spans="3:8" x14ac:dyDescent="0.25">
      <c r="C50" s="88"/>
      <c r="E50" t="s">
        <v>191</v>
      </c>
      <c r="G50" t="s">
        <v>585</v>
      </c>
      <c r="H50" s="79"/>
    </row>
    <row r="51" spans="3:8" x14ac:dyDescent="0.25">
      <c r="C51" s="88"/>
      <c r="E51" t="s">
        <v>192</v>
      </c>
      <c r="G51" t="s">
        <v>585</v>
      </c>
      <c r="H51" s="120">
        <f t="array" ref="H51:H58">TRANSPOSE('Unit costs'!L114:S114)</f>
        <v>5.3072976336259448</v>
      </c>
    </row>
    <row r="52" spans="3:8" x14ac:dyDescent="0.25">
      <c r="C52" s="88"/>
      <c r="E52" t="s">
        <v>193</v>
      </c>
      <c r="G52" t="s">
        <v>585</v>
      </c>
      <c r="H52" s="120">
        <v>3.0069632283721806</v>
      </c>
    </row>
    <row r="53" spans="3:8" x14ac:dyDescent="0.25">
      <c r="C53" s="88"/>
      <c r="E53" t="s">
        <v>194</v>
      </c>
      <c r="G53" t="s">
        <v>585</v>
      </c>
      <c r="H53" s="120">
        <v>3.744236265234969</v>
      </c>
    </row>
    <row r="54" spans="3:8" x14ac:dyDescent="0.25">
      <c r="C54" s="88"/>
      <c r="E54" t="s">
        <v>195</v>
      </c>
      <c r="G54" t="s">
        <v>585</v>
      </c>
      <c r="H54" s="120">
        <v>6.0590481957424744</v>
      </c>
    </row>
    <row r="55" spans="3:8" x14ac:dyDescent="0.25">
      <c r="C55" s="88"/>
      <c r="E55" t="s">
        <v>196</v>
      </c>
      <c r="G55" t="s">
        <v>585</v>
      </c>
      <c r="H55" s="120">
        <v>6.2886236273536662</v>
      </c>
    </row>
    <row r="56" spans="3:8" x14ac:dyDescent="0.25">
      <c r="C56" s="88"/>
      <c r="E56" t="s">
        <v>197</v>
      </c>
      <c r="G56" t="s">
        <v>585</v>
      </c>
      <c r="H56" s="120">
        <v>13.113997751870265</v>
      </c>
    </row>
    <row r="57" spans="3:8" x14ac:dyDescent="0.25">
      <c r="C57" s="88"/>
      <c r="E57" t="s">
        <v>198</v>
      </c>
      <c r="G57" t="s">
        <v>585</v>
      </c>
      <c r="H57" s="120">
        <v>6.0666985535140832</v>
      </c>
    </row>
    <row r="58" spans="3:8" x14ac:dyDescent="0.25">
      <c r="C58" s="88"/>
      <c r="E58" t="s">
        <v>199</v>
      </c>
      <c r="G58" t="s">
        <v>585</v>
      </c>
      <c r="H58" s="120">
        <v>12.450213812197704</v>
      </c>
    </row>
    <row r="59" spans="3:8" x14ac:dyDescent="0.25">
      <c r="C59" s="88"/>
      <c r="E59" t="s">
        <v>376</v>
      </c>
      <c r="G59" t="s">
        <v>585</v>
      </c>
      <c r="H59" s="79"/>
    </row>
    <row r="60" spans="3:8" x14ac:dyDescent="0.25">
      <c r="C60" s="88"/>
      <c r="E60" s="37" t="s">
        <v>377</v>
      </c>
      <c r="F60" s="37"/>
      <c r="G60" s="37" t="s">
        <v>585</v>
      </c>
      <c r="H60" s="81"/>
    </row>
    <row r="61" spans="3:8" x14ac:dyDescent="0.25">
      <c r="C61" s="88"/>
      <c r="H61" s="89"/>
    </row>
    <row r="62" spans="3:8" x14ac:dyDescent="0.25">
      <c r="C62" s="88"/>
      <c r="D62" s="32" t="s">
        <v>669</v>
      </c>
      <c r="E62"/>
      <c r="H62" s="89"/>
    </row>
    <row r="63" spans="3:8" x14ac:dyDescent="0.25">
      <c r="C63" s="88"/>
      <c r="E63" s="23" t="s">
        <v>189</v>
      </c>
      <c r="F63" s="23"/>
      <c r="G63" s="23" t="s">
        <v>585</v>
      </c>
      <c r="H63" s="124">
        <f t="array" ref="H63:H72">TRANSPOSE('Unit costs'!J115:S115)</f>
        <v>3.0960485692212529</v>
      </c>
    </row>
    <row r="64" spans="3:8" x14ac:dyDescent="0.25">
      <c r="C64" s="88"/>
      <c r="E64" t="s">
        <v>191</v>
      </c>
      <c r="G64" t="s">
        <v>585</v>
      </c>
      <c r="H64" s="120">
        <v>0</v>
      </c>
    </row>
    <row r="65" spans="3:42" x14ac:dyDescent="0.25">
      <c r="C65" s="88"/>
      <c r="E65" t="s">
        <v>192</v>
      </c>
      <c r="G65" t="s">
        <v>585</v>
      </c>
      <c r="H65" s="120">
        <v>3.3696098564248564</v>
      </c>
    </row>
    <row r="66" spans="3:42" x14ac:dyDescent="0.25">
      <c r="C66" s="88"/>
      <c r="E66" t="s">
        <v>193</v>
      </c>
      <c r="G66" t="s">
        <v>585</v>
      </c>
      <c r="H66" s="120">
        <v>1.9091246867396099</v>
      </c>
    </row>
    <row r="67" spans="3:42" x14ac:dyDescent="0.25">
      <c r="C67" s="88"/>
      <c r="E67" t="s">
        <v>194</v>
      </c>
      <c r="G67" t="s">
        <v>585</v>
      </c>
      <c r="H67" s="120">
        <v>2.3772202531440612</v>
      </c>
    </row>
    <row r="68" spans="3:42" x14ac:dyDescent="0.25">
      <c r="C68" s="88"/>
      <c r="E68" t="s">
        <v>195</v>
      </c>
      <c r="G68" t="s">
        <v>585</v>
      </c>
      <c r="H68" s="120">
        <v>3.8468972215862798</v>
      </c>
    </row>
    <row r="69" spans="3:42" x14ac:dyDescent="0.25">
      <c r="C69" s="88"/>
      <c r="E69" t="s">
        <v>196</v>
      </c>
      <c r="G69" t="s">
        <v>585</v>
      </c>
      <c r="H69" s="120">
        <v>3.9926549481265847</v>
      </c>
    </row>
    <row r="70" spans="3:42" x14ac:dyDescent="0.25">
      <c r="C70" s="88"/>
      <c r="E70" t="s">
        <v>197</v>
      </c>
      <c r="G70" t="s">
        <v>585</v>
      </c>
      <c r="H70" s="120">
        <v>8.3260934532600359</v>
      </c>
    </row>
    <row r="71" spans="3:42" x14ac:dyDescent="0.25">
      <c r="C71" s="88"/>
      <c r="E71" t="s">
        <v>198</v>
      </c>
      <c r="G71" t="s">
        <v>585</v>
      </c>
      <c r="H71" s="120">
        <v>3.8517544432331419</v>
      </c>
    </row>
    <row r="72" spans="3:42" x14ac:dyDescent="0.25">
      <c r="C72" s="88"/>
      <c r="E72" t="s">
        <v>199</v>
      </c>
      <c r="G72" t="s">
        <v>585</v>
      </c>
      <c r="H72" s="120">
        <v>7.9046562058959582</v>
      </c>
    </row>
    <row r="73" spans="3:42" x14ac:dyDescent="0.25">
      <c r="C73" s="88"/>
      <c r="E73" t="s">
        <v>376</v>
      </c>
      <c r="G73" t="s">
        <v>585</v>
      </c>
      <c r="H73" s="79"/>
    </row>
    <row r="74" spans="3:42" x14ac:dyDescent="0.25">
      <c r="C74" s="88"/>
      <c r="E74" s="37" t="s">
        <v>377</v>
      </c>
      <c r="F74" s="37"/>
      <c r="G74" s="37" t="s">
        <v>585</v>
      </c>
      <c r="H74" s="81"/>
    </row>
    <row r="75" spans="3:42" x14ac:dyDescent="0.25">
      <c r="C75" s="88"/>
      <c r="H75" s="63"/>
    </row>
    <row r="76" spans="3:42" x14ac:dyDescent="0.25">
      <c r="D76" s="88" t="s">
        <v>670</v>
      </c>
    </row>
    <row r="77" spans="3:42" x14ac:dyDescent="0.25">
      <c r="D77" s="29" t="s">
        <v>671</v>
      </c>
      <c r="E77" s="203"/>
    </row>
    <row r="78" spans="3:42" x14ac:dyDescent="0.25">
      <c r="C78" s="88"/>
      <c r="E78" t="s">
        <v>672</v>
      </c>
      <c r="G78" t="s">
        <v>673</v>
      </c>
      <c r="I78" t="s">
        <v>154</v>
      </c>
      <c r="J78" s="169">
        <f>'Fixed inputs'!J138</f>
        <v>0</v>
      </c>
      <c r="K78" s="169">
        <f>'Fixed inputs'!K138</f>
        <v>0</v>
      </c>
      <c r="L78" s="169">
        <f>'Fixed inputs'!L138</f>
        <v>0</v>
      </c>
      <c r="M78" s="169">
        <f>'Fixed inputs'!M138</f>
        <v>0</v>
      </c>
      <c r="N78" s="169">
        <f>'Fixed inputs'!N138</f>
        <v>1</v>
      </c>
      <c r="O78" s="169">
        <f>'Fixed inputs'!O138</f>
        <v>1</v>
      </c>
      <c r="P78" s="169">
        <f>'Fixed inputs'!P138</f>
        <v>1</v>
      </c>
      <c r="Q78" s="169">
        <f>'Fixed inputs'!Q138</f>
        <v>0</v>
      </c>
      <c r="R78" s="169">
        <f>'Fixed inputs'!R138</f>
        <v>0</v>
      </c>
      <c r="S78" s="169">
        <f>'Fixed inputs'!S138</f>
        <v>0</v>
      </c>
      <c r="T78" s="169">
        <f>'Fixed inputs'!T138</f>
        <v>1</v>
      </c>
      <c r="U78" s="169">
        <f>'Fixed inputs'!U138</f>
        <v>0</v>
      </c>
      <c r="V78" s="169">
        <f>'Fixed inputs'!V138</f>
        <v>1</v>
      </c>
      <c r="W78" s="169">
        <f>'Fixed inputs'!W138</f>
        <v>0</v>
      </c>
      <c r="X78" s="169">
        <f>'Fixed inputs'!X138</f>
        <v>1</v>
      </c>
      <c r="Y78" s="169">
        <f>'Fixed inputs'!Y138</f>
        <v>0</v>
      </c>
      <c r="AA78" t="s">
        <v>223</v>
      </c>
    </row>
    <row r="79" spans="3:42" x14ac:dyDescent="0.25">
      <c r="C79" s="88"/>
    </row>
    <row r="80" spans="3:42" x14ac:dyDescent="0.25">
      <c r="D80" s="32" t="s">
        <v>120</v>
      </c>
      <c r="E80"/>
      <c r="H80" s="14"/>
      <c r="J80" s="63"/>
      <c r="K80" s="63"/>
      <c r="L80" s="63"/>
      <c r="M80" s="63"/>
      <c r="N80" s="63"/>
      <c r="O80" s="63"/>
      <c r="P80" s="63"/>
      <c r="Q80" s="63"/>
      <c r="R80" s="63"/>
      <c r="S80" s="63"/>
      <c r="T80" s="63"/>
      <c r="U80" s="63"/>
      <c r="V80" s="63"/>
      <c r="W80" s="63"/>
      <c r="X80" s="63"/>
      <c r="Y80" s="63"/>
      <c r="AP80" s="3"/>
    </row>
    <row r="81" spans="3:42" x14ac:dyDescent="0.25">
      <c r="C81" s="32"/>
      <c r="D81"/>
      <c r="E81" s="23" t="s">
        <v>191</v>
      </c>
      <c r="F81" s="23"/>
      <c r="G81" s="23" t="s">
        <v>167</v>
      </c>
      <c r="H81" s="129"/>
      <c r="I81" s="23"/>
      <c r="J81" s="107">
        <f>'Standing charge factors'!J44</f>
        <v>0</v>
      </c>
      <c r="K81" s="107">
        <f>'Standing charge factors'!K44</f>
        <v>0</v>
      </c>
      <c r="L81" s="107">
        <f>'Standing charge factors'!L44</f>
        <v>0</v>
      </c>
      <c r="M81" s="107">
        <f>'Standing charge factors'!M44</f>
        <v>0</v>
      </c>
      <c r="N81" s="107">
        <f>'Standing charge factors'!N44</f>
        <v>0</v>
      </c>
      <c r="O81" s="107">
        <f>'Standing charge factors'!O44</f>
        <v>0</v>
      </c>
      <c r="P81" s="107">
        <f>'Standing charge factors'!P44</f>
        <v>0</v>
      </c>
      <c r="Q81" s="107">
        <f>'Standing charge factors'!Q44</f>
        <v>0</v>
      </c>
      <c r="R81" s="107">
        <f>'Standing charge factors'!R44</f>
        <v>0</v>
      </c>
      <c r="S81" s="107">
        <f>'Standing charge factors'!S44</f>
        <v>0</v>
      </c>
      <c r="T81" s="107">
        <f>'Standing charge factors'!T44</f>
        <v>0</v>
      </c>
      <c r="U81" s="107">
        <f>'Standing charge factors'!U44</f>
        <v>0</v>
      </c>
      <c r="V81" s="107">
        <f>'Standing charge factors'!V44</f>
        <v>0</v>
      </c>
      <c r="W81" s="107">
        <f>'Standing charge factors'!W44</f>
        <v>0</v>
      </c>
      <c r="X81" s="107">
        <f>'Standing charge factors'!X44</f>
        <v>0</v>
      </c>
      <c r="Y81" s="107">
        <f>'Standing charge factors'!Y44</f>
        <v>0</v>
      </c>
      <c r="AP81" s="3"/>
    </row>
    <row r="82" spans="3:42" x14ac:dyDescent="0.25">
      <c r="C82" s="32"/>
      <c r="D82"/>
      <c r="E82" t="s">
        <v>192</v>
      </c>
      <c r="G82" t="s">
        <v>167</v>
      </c>
      <c r="H82" s="63"/>
      <c r="J82" s="25">
        <f>'Standing charge factors'!J45</f>
        <v>0</v>
      </c>
      <c r="K82" s="25">
        <f>'Standing charge factors'!K45</f>
        <v>0</v>
      </c>
      <c r="L82" s="25">
        <f>'Standing charge factors'!L45</f>
        <v>0</v>
      </c>
      <c r="M82" s="25">
        <f>'Standing charge factors'!M45</f>
        <v>0</v>
      </c>
      <c r="N82" s="25">
        <f>'Standing charge factors'!N45</f>
        <v>0</v>
      </c>
      <c r="O82" s="25">
        <f>'Standing charge factors'!O45</f>
        <v>0</v>
      </c>
      <c r="P82" s="25">
        <f>'Standing charge factors'!P45</f>
        <v>1.5008868542263909E-2</v>
      </c>
      <c r="Q82" s="25">
        <f>'Standing charge factors'!Q45</f>
        <v>0</v>
      </c>
      <c r="R82" s="25">
        <f>'Standing charge factors'!R45</f>
        <v>0</v>
      </c>
      <c r="S82" s="25">
        <f>'Standing charge factors'!S45</f>
        <v>0</v>
      </c>
      <c r="T82" s="25">
        <f>'Standing charge factors'!T45</f>
        <v>0</v>
      </c>
      <c r="U82" s="25">
        <f>'Standing charge factors'!U45</f>
        <v>0</v>
      </c>
      <c r="V82" s="25">
        <f>'Standing charge factors'!V45</f>
        <v>0</v>
      </c>
      <c r="W82" s="25">
        <f>'Standing charge factors'!W45</f>
        <v>0</v>
      </c>
      <c r="X82" s="25">
        <f>'Standing charge factors'!X45</f>
        <v>0</v>
      </c>
      <c r="Y82" s="25">
        <f>'Standing charge factors'!Y45</f>
        <v>0</v>
      </c>
      <c r="AP82" s="3"/>
    </row>
    <row r="83" spans="3:42" x14ac:dyDescent="0.25">
      <c r="C83" s="32"/>
      <c r="D83"/>
      <c r="E83" t="s">
        <v>193</v>
      </c>
      <c r="G83" t="s">
        <v>167</v>
      </c>
      <c r="H83" s="63"/>
      <c r="J83" s="25">
        <f>'Standing charge factors'!J46</f>
        <v>0</v>
      </c>
      <c r="K83" s="25">
        <f>'Standing charge factors'!K46</f>
        <v>0</v>
      </c>
      <c r="L83" s="25">
        <f>'Standing charge factors'!L46</f>
        <v>0</v>
      </c>
      <c r="M83" s="25">
        <f>'Standing charge factors'!M46</f>
        <v>0</v>
      </c>
      <c r="N83" s="25">
        <f>'Standing charge factors'!N46</f>
        <v>0</v>
      </c>
      <c r="O83" s="25">
        <f>'Standing charge factors'!O46</f>
        <v>0</v>
      </c>
      <c r="P83" s="25">
        <f>'Standing charge factors'!P46</f>
        <v>0</v>
      </c>
      <c r="Q83" s="25">
        <f>'Standing charge factors'!Q46</f>
        <v>0</v>
      </c>
      <c r="R83" s="25">
        <f>'Standing charge factors'!R46</f>
        <v>0</v>
      </c>
      <c r="S83" s="25">
        <f>'Standing charge factors'!S46</f>
        <v>0</v>
      </c>
      <c r="T83" s="25">
        <f>'Standing charge factors'!T46</f>
        <v>0</v>
      </c>
      <c r="U83" s="25">
        <f>'Standing charge factors'!U46</f>
        <v>0</v>
      </c>
      <c r="V83" s="25">
        <f>'Standing charge factors'!V46</f>
        <v>0</v>
      </c>
      <c r="W83" s="25">
        <f>'Standing charge factors'!W46</f>
        <v>0</v>
      </c>
      <c r="X83" s="25">
        <f>'Standing charge factors'!X46</f>
        <v>0</v>
      </c>
      <c r="Y83" s="25">
        <f>'Standing charge factors'!Y46</f>
        <v>0</v>
      </c>
      <c r="AP83" s="3"/>
    </row>
    <row r="84" spans="3:42" x14ac:dyDescent="0.25">
      <c r="C84" s="32"/>
      <c r="D84"/>
      <c r="E84" t="s">
        <v>194</v>
      </c>
      <c r="G84" t="s">
        <v>167</v>
      </c>
      <c r="H84" s="63"/>
      <c r="J84" s="25">
        <f>'Standing charge factors'!J47</f>
        <v>0</v>
      </c>
      <c r="K84" s="25">
        <f>'Standing charge factors'!K47</f>
        <v>0</v>
      </c>
      <c r="L84" s="25">
        <f>'Standing charge factors'!L47</f>
        <v>0</v>
      </c>
      <c r="M84" s="25">
        <f>'Standing charge factors'!M47</f>
        <v>0</v>
      </c>
      <c r="N84" s="25">
        <f>'Standing charge factors'!N47</f>
        <v>0</v>
      </c>
      <c r="O84" s="25">
        <f>'Standing charge factors'!O47</f>
        <v>0</v>
      </c>
      <c r="P84" s="25">
        <f>'Standing charge factors'!P47</f>
        <v>0.2</v>
      </c>
      <c r="Q84" s="25">
        <f>'Standing charge factors'!Q47</f>
        <v>0</v>
      </c>
      <c r="R84" s="25">
        <f>'Standing charge factors'!R47</f>
        <v>0</v>
      </c>
      <c r="S84" s="25">
        <f>'Standing charge factors'!S47</f>
        <v>0</v>
      </c>
      <c r="T84" s="25">
        <f>'Standing charge factors'!T47</f>
        <v>0</v>
      </c>
      <c r="U84" s="25">
        <f>'Standing charge factors'!U47</f>
        <v>0</v>
      </c>
      <c r="V84" s="25">
        <f>'Standing charge factors'!V47</f>
        <v>0</v>
      </c>
      <c r="W84" s="25">
        <f>'Standing charge factors'!W47</f>
        <v>0</v>
      </c>
      <c r="X84" s="25">
        <f>'Standing charge factors'!X47</f>
        <v>0</v>
      </c>
      <c r="Y84" s="25">
        <f>'Standing charge factors'!Y47</f>
        <v>0</v>
      </c>
      <c r="AP84" s="3"/>
    </row>
    <row r="85" spans="3:42" x14ac:dyDescent="0.25">
      <c r="C85" s="32"/>
      <c r="D85"/>
      <c r="E85" t="s">
        <v>195</v>
      </c>
      <c r="G85" t="s">
        <v>167</v>
      </c>
      <c r="H85" s="63"/>
      <c r="J85" s="25">
        <f>'Standing charge factors'!J48</f>
        <v>0</v>
      </c>
      <c r="K85" s="25">
        <f>'Standing charge factors'!K48</f>
        <v>0</v>
      </c>
      <c r="L85" s="25">
        <f>'Standing charge factors'!L48</f>
        <v>0</v>
      </c>
      <c r="M85" s="25">
        <f>'Standing charge factors'!M48</f>
        <v>0</v>
      </c>
      <c r="N85" s="25">
        <f>'Standing charge factors'!N48</f>
        <v>0</v>
      </c>
      <c r="O85" s="25">
        <f>'Standing charge factors'!O48</f>
        <v>0</v>
      </c>
      <c r="P85" s="25">
        <f>'Standing charge factors'!P48</f>
        <v>1</v>
      </c>
      <c r="Q85" s="25">
        <f>'Standing charge factors'!Q48</f>
        <v>0</v>
      </c>
      <c r="R85" s="25">
        <f>'Standing charge factors'!R48</f>
        <v>0</v>
      </c>
      <c r="S85" s="25">
        <f>'Standing charge factors'!S48</f>
        <v>0</v>
      </c>
      <c r="T85" s="25">
        <f>'Standing charge factors'!T48</f>
        <v>0</v>
      </c>
      <c r="U85" s="25">
        <f>'Standing charge factors'!U48</f>
        <v>0</v>
      </c>
      <c r="V85" s="25">
        <f>'Standing charge factors'!V48</f>
        <v>0</v>
      </c>
      <c r="W85" s="25">
        <f>'Standing charge factors'!W48</f>
        <v>0</v>
      </c>
      <c r="X85" s="25">
        <f>'Standing charge factors'!X48</f>
        <v>0</v>
      </c>
      <c r="Y85" s="25">
        <f>'Standing charge factors'!Y48</f>
        <v>0</v>
      </c>
      <c r="AP85" s="3"/>
    </row>
    <row r="86" spans="3:42" x14ac:dyDescent="0.25">
      <c r="C86" s="32"/>
      <c r="D86"/>
      <c r="E86" t="s">
        <v>196</v>
      </c>
      <c r="G86" t="s">
        <v>167</v>
      </c>
      <c r="H86" s="63"/>
      <c r="J86" s="25">
        <f>'Standing charge factors'!J49</f>
        <v>0</v>
      </c>
      <c r="K86" s="25">
        <f>'Standing charge factors'!K49</f>
        <v>0</v>
      </c>
      <c r="L86" s="25">
        <f>'Standing charge factors'!L49</f>
        <v>0</v>
      </c>
      <c r="M86" s="25">
        <f>'Standing charge factors'!M49</f>
        <v>0</v>
      </c>
      <c r="N86" s="25">
        <f>'Standing charge factors'!N49</f>
        <v>0</v>
      </c>
      <c r="O86" s="25">
        <f>'Standing charge factors'!O49</f>
        <v>0</v>
      </c>
      <c r="P86" s="25">
        <f>'Standing charge factors'!P49</f>
        <v>1</v>
      </c>
      <c r="Q86" s="25">
        <f>'Standing charge factors'!Q49</f>
        <v>0</v>
      </c>
      <c r="R86" s="25">
        <f>'Standing charge factors'!R49</f>
        <v>0</v>
      </c>
      <c r="S86" s="25">
        <f>'Standing charge factors'!S49</f>
        <v>0</v>
      </c>
      <c r="T86" s="25">
        <f>'Standing charge factors'!T49</f>
        <v>0</v>
      </c>
      <c r="U86" s="25">
        <f>'Standing charge factors'!U49</f>
        <v>0</v>
      </c>
      <c r="V86" s="25">
        <f>'Standing charge factors'!V49</f>
        <v>0</v>
      </c>
      <c r="W86" s="25">
        <f>'Standing charge factors'!W49</f>
        <v>0</v>
      </c>
      <c r="X86" s="25">
        <f>'Standing charge factors'!X49</f>
        <v>0</v>
      </c>
      <c r="Y86" s="25">
        <f>'Standing charge factors'!Y49</f>
        <v>0</v>
      </c>
      <c r="AP86" s="3"/>
    </row>
    <row r="87" spans="3:42" x14ac:dyDescent="0.25">
      <c r="C87" s="32"/>
      <c r="D87"/>
      <c r="E87" t="s">
        <v>197</v>
      </c>
      <c r="G87" t="s">
        <v>167</v>
      </c>
      <c r="H87" s="63"/>
      <c r="J87" s="25">
        <f>'Standing charge factors'!J50</f>
        <v>0</v>
      </c>
      <c r="K87" s="25">
        <f>'Standing charge factors'!K50</f>
        <v>0</v>
      </c>
      <c r="L87" s="25">
        <f>'Standing charge factors'!L50</f>
        <v>0</v>
      </c>
      <c r="M87" s="25">
        <f>'Standing charge factors'!M50</f>
        <v>0</v>
      </c>
      <c r="N87" s="25">
        <f>'Standing charge factors'!N50</f>
        <v>0.2</v>
      </c>
      <c r="O87" s="25">
        <f>'Standing charge factors'!O50</f>
        <v>1</v>
      </c>
      <c r="P87" s="25">
        <f>'Standing charge factors'!P50</f>
        <v>1</v>
      </c>
      <c r="Q87" s="25">
        <f>'Standing charge factors'!Q50</f>
        <v>0</v>
      </c>
      <c r="R87" s="25">
        <f>'Standing charge factors'!R50</f>
        <v>0</v>
      </c>
      <c r="S87" s="25">
        <f>'Standing charge factors'!S50</f>
        <v>0</v>
      </c>
      <c r="T87" s="25">
        <f>'Standing charge factors'!T50</f>
        <v>0</v>
      </c>
      <c r="U87" s="25">
        <f>'Standing charge factors'!U50</f>
        <v>0</v>
      </c>
      <c r="V87" s="25">
        <f>'Standing charge factors'!V50</f>
        <v>0</v>
      </c>
      <c r="W87" s="25">
        <f>'Standing charge factors'!W50</f>
        <v>0</v>
      </c>
      <c r="X87" s="25">
        <f>'Standing charge factors'!X50</f>
        <v>0</v>
      </c>
      <c r="Y87" s="25">
        <f>'Standing charge factors'!Y50</f>
        <v>0</v>
      </c>
      <c r="AP87" s="3"/>
    </row>
    <row r="88" spans="3:42" x14ac:dyDescent="0.25">
      <c r="C88" s="32"/>
      <c r="D88"/>
      <c r="E88" t="s">
        <v>198</v>
      </c>
      <c r="G88" t="s">
        <v>167</v>
      </c>
      <c r="H88" s="63"/>
      <c r="J88" s="25">
        <f>'Standing charge factors'!J51</f>
        <v>0</v>
      </c>
      <c r="K88" s="25">
        <f>'Standing charge factors'!K51</f>
        <v>0</v>
      </c>
      <c r="L88" s="25">
        <f>'Standing charge factors'!L51</f>
        <v>0</v>
      </c>
      <c r="M88" s="25">
        <f>'Standing charge factors'!M51</f>
        <v>0</v>
      </c>
      <c r="N88" s="25">
        <f>'Standing charge factors'!N51</f>
        <v>1</v>
      </c>
      <c r="O88" s="25">
        <f>'Standing charge factors'!O51</f>
        <v>1</v>
      </c>
      <c r="P88" s="25">
        <f>'Standing charge factors'!P51</f>
        <v>0</v>
      </c>
      <c r="Q88" s="25">
        <f>'Standing charge factors'!Q51</f>
        <v>0</v>
      </c>
      <c r="R88" s="25">
        <f>'Standing charge factors'!R51</f>
        <v>0</v>
      </c>
      <c r="S88" s="25">
        <f>'Standing charge factors'!S51</f>
        <v>0</v>
      </c>
      <c r="T88" s="25">
        <f>'Standing charge factors'!T51</f>
        <v>0</v>
      </c>
      <c r="U88" s="25">
        <f>'Standing charge factors'!U51</f>
        <v>0</v>
      </c>
      <c r="V88" s="25">
        <f>'Standing charge factors'!V51</f>
        <v>0</v>
      </c>
      <c r="W88" s="25">
        <f>'Standing charge factors'!W51</f>
        <v>0</v>
      </c>
      <c r="X88" s="25">
        <f>'Standing charge factors'!X51</f>
        <v>0</v>
      </c>
      <c r="Y88" s="25">
        <f>'Standing charge factors'!Y51</f>
        <v>0</v>
      </c>
      <c r="AP88" s="3"/>
    </row>
    <row r="89" spans="3:42" x14ac:dyDescent="0.25">
      <c r="C89" s="32"/>
      <c r="D89"/>
      <c r="E89" s="37" t="s">
        <v>199</v>
      </c>
      <c r="F89" s="37"/>
      <c r="G89" s="37" t="s">
        <v>167</v>
      </c>
      <c r="H89" s="130"/>
      <c r="I89" s="37"/>
      <c r="J89" s="141">
        <f>'Standing charge factors'!J52</f>
        <v>1</v>
      </c>
      <c r="K89" s="141">
        <f>'Standing charge factors'!K52</f>
        <v>1</v>
      </c>
      <c r="L89" s="141">
        <f>'Standing charge factors'!L52</f>
        <v>1</v>
      </c>
      <c r="M89" s="141">
        <f>'Standing charge factors'!M52</f>
        <v>1</v>
      </c>
      <c r="N89" s="141">
        <f>'Standing charge factors'!N52</f>
        <v>1</v>
      </c>
      <c r="O89" s="141">
        <f>'Standing charge factors'!O52</f>
        <v>0</v>
      </c>
      <c r="P89" s="141">
        <f>'Standing charge factors'!P52</f>
        <v>0</v>
      </c>
      <c r="Q89" s="141">
        <f>'Standing charge factors'!Q52</f>
        <v>0</v>
      </c>
      <c r="R89" s="141">
        <f>'Standing charge factors'!R52</f>
        <v>0</v>
      </c>
      <c r="S89" s="141">
        <f>'Standing charge factors'!S52</f>
        <v>0</v>
      </c>
      <c r="T89" s="141">
        <f>'Standing charge factors'!T52</f>
        <v>0</v>
      </c>
      <c r="U89" s="141">
        <f>'Standing charge factors'!U52</f>
        <v>0</v>
      </c>
      <c r="V89" s="141">
        <f>'Standing charge factors'!V52</f>
        <v>0</v>
      </c>
      <c r="W89" s="141">
        <f>'Standing charge factors'!W52</f>
        <v>0</v>
      </c>
      <c r="X89" s="141">
        <f>'Standing charge factors'!X52</f>
        <v>0</v>
      </c>
      <c r="Y89" s="141">
        <f>'Standing charge factors'!Y52</f>
        <v>0</v>
      </c>
      <c r="AP89" s="3"/>
    </row>
    <row r="90" spans="3:42" x14ac:dyDescent="0.25">
      <c r="C90" s="88"/>
    </row>
    <row r="91" spans="3:42" x14ac:dyDescent="0.25">
      <c r="D91" s="32" t="s">
        <v>404</v>
      </c>
      <c r="E91" s="32"/>
      <c r="I91" t="s">
        <v>154</v>
      </c>
      <c r="AA91" t="s">
        <v>674</v>
      </c>
    </row>
    <row r="92" spans="3:42" x14ac:dyDescent="0.25">
      <c r="D92" s="29" t="s">
        <v>401</v>
      </c>
      <c r="E92"/>
      <c r="AA92" s="204"/>
    </row>
    <row r="93" spans="3:42" x14ac:dyDescent="0.25">
      <c r="D93"/>
      <c r="E93" s="23" t="s">
        <v>189</v>
      </c>
      <c r="F93" s="23"/>
      <c r="G93" s="64" t="s">
        <v>283</v>
      </c>
      <c r="H93" s="23"/>
      <c r="I93" s="23"/>
      <c r="J93" s="83"/>
      <c r="K93" s="83"/>
      <c r="L93" s="83"/>
      <c r="M93" s="83"/>
      <c r="N93" s="83"/>
      <c r="O93" s="83"/>
      <c r="P93" s="83"/>
      <c r="Q93" s="83"/>
      <c r="R93" s="124">
        <f t="array" ref="R93:Y102">TRANSPOSE('Load &amp; loss characteristics'!J172:S179)</f>
        <v>-1.0780000000000001</v>
      </c>
      <c r="S93" s="124">
        <v>-1.0469999999999999</v>
      </c>
      <c r="T93" s="124">
        <v>-1.0780000000000001</v>
      </c>
      <c r="U93" s="124">
        <v>-1.0780000000000001</v>
      </c>
      <c r="V93" s="124">
        <v>-1.0469999999999999</v>
      </c>
      <c r="W93" s="124">
        <v>-1.0469999999999999</v>
      </c>
      <c r="X93" s="124">
        <v>-1.036</v>
      </c>
      <c r="Y93" s="124">
        <v>-1.036</v>
      </c>
    </row>
    <row r="94" spans="3:42" x14ac:dyDescent="0.25">
      <c r="D94"/>
      <c r="E94" t="s">
        <v>191</v>
      </c>
      <c r="G94" s="28" t="s">
        <v>283</v>
      </c>
      <c r="J94" s="79"/>
      <c r="K94" s="79"/>
      <c r="L94" s="79"/>
      <c r="M94" s="79"/>
      <c r="N94" s="79"/>
      <c r="O94" s="79"/>
      <c r="P94" s="79"/>
      <c r="Q94" s="79"/>
      <c r="R94" s="120">
        <v>-1.0780000000000001</v>
      </c>
      <c r="S94" s="120">
        <v>-1.0469999999999999</v>
      </c>
      <c r="T94" s="120">
        <v>-1.0780000000000001</v>
      </c>
      <c r="U94" s="120">
        <v>-1.0780000000000001</v>
      </c>
      <c r="V94" s="120">
        <v>-1.0469999999999999</v>
      </c>
      <c r="W94" s="120">
        <v>-1.0469999999999999</v>
      </c>
      <c r="X94" s="120">
        <v>-1.036</v>
      </c>
      <c r="Y94" s="120">
        <v>-1.036</v>
      </c>
    </row>
    <row r="95" spans="3:42" x14ac:dyDescent="0.25">
      <c r="D95"/>
      <c r="E95" t="s">
        <v>192</v>
      </c>
      <c r="G95" s="28" t="s">
        <v>283</v>
      </c>
      <c r="J95" s="79"/>
      <c r="K95" s="79"/>
      <c r="L95" s="79"/>
      <c r="M95" s="79"/>
      <c r="N95" s="79"/>
      <c r="O95" s="79"/>
      <c r="P95" s="79"/>
      <c r="Q95" s="79"/>
      <c r="R95" s="120">
        <v>-1.0780000000000001</v>
      </c>
      <c r="S95" s="120">
        <v>-1.0469999999999999</v>
      </c>
      <c r="T95" s="120">
        <v>-1.0780000000000001</v>
      </c>
      <c r="U95" s="120">
        <v>-1.0780000000000001</v>
      </c>
      <c r="V95" s="120">
        <v>-1.0469999999999999</v>
      </c>
      <c r="W95" s="120">
        <v>-1.0469999999999999</v>
      </c>
      <c r="X95" s="120">
        <v>-1.036</v>
      </c>
      <c r="Y95" s="120">
        <v>-1.036</v>
      </c>
    </row>
    <row r="96" spans="3:42" x14ac:dyDescent="0.25">
      <c r="D96"/>
      <c r="E96" t="s">
        <v>193</v>
      </c>
      <c r="G96" s="28" t="s">
        <v>283</v>
      </c>
      <c r="J96" s="79"/>
      <c r="K96" s="79"/>
      <c r="L96" s="79"/>
      <c r="M96" s="79"/>
      <c r="N96" s="79"/>
      <c r="O96" s="79"/>
      <c r="P96" s="79"/>
      <c r="Q96" s="79"/>
      <c r="R96" s="120">
        <v>-0.99710219855719762</v>
      </c>
      <c r="S96" s="120">
        <v>-0.96842857318124842</v>
      </c>
      <c r="T96" s="120">
        <v>-0.99710219855719762</v>
      </c>
      <c r="U96" s="120">
        <v>-0.99710219855719762</v>
      </c>
      <c r="V96" s="120">
        <v>-0.96842857318124842</v>
      </c>
      <c r="W96" s="120">
        <v>-0.96842857318124842</v>
      </c>
      <c r="X96" s="120">
        <v>-0.95825406095107302</v>
      </c>
      <c r="Y96" s="120">
        <v>-0.95825406095107302</v>
      </c>
    </row>
    <row r="97" spans="3:25" x14ac:dyDescent="0.25">
      <c r="D97"/>
      <c r="E97" t="s">
        <v>194</v>
      </c>
      <c r="G97" s="28" t="s">
        <v>283</v>
      </c>
      <c r="J97" s="79"/>
      <c r="K97" s="79"/>
      <c r="L97" s="79"/>
      <c r="M97" s="79"/>
      <c r="N97" s="79"/>
      <c r="O97" s="79"/>
      <c r="P97" s="79"/>
      <c r="Q97" s="79"/>
      <c r="R97" s="120">
        <v>-0.99710219855719762</v>
      </c>
      <c r="S97" s="120">
        <v>-0.96842857318124842</v>
      </c>
      <c r="T97" s="120">
        <v>-0.99710219855719762</v>
      </c>
      <c r="U97" s="120">
        <v>-0.99710219855719762</v>
      </c>
      <c r="V97" s="120">
        <v>-0.96842857318124842</v>
      </c>
      <c r="W97" s="120">
        <v>-0.96842857318124842</v>
      </c>
      <c r="X97" s="120">
        <v>-0.95825406095107302</v>
      </c>
      <c r="Y97" s="120">
        <v>-0.95825406095107302</v>
      </c>
    </row>
    <row r="98" spans="3:25" x14ac:dyDescent="0.25">
      <c r="D98"/>
      <c r="E98" t="s">
        <v>195</v>
      </c>
      <c r="G98" s="28" t="s">
        <v>283</v>
      </c>
      <c r="J98" s="79"/>
      <c r="K98" s="79"/>
      <c r="L98" s="79"/>
      <c r="M98" s="79"/>
      <c r="N98" s="79"/>
      <c r="O98" s="79"/>
      <c r="P98" s="79"/>
      <c r="Q98" s="79"/>
      <c r="R98" s="120">
        <v>-0.99710219855719762</v>
      </c>
      <c r="S98" s="120">
        <v>-0.96842857318124842</v>
      </c>
      <c r="T98" s="120">
        <v>-0.99710219855719762</v>
      </c>
      <c r="U98" s="120">
        <v>-0.99710219855719762</v>
      </c>
      <c r="V98" s="120">
        <v>-0.96842857318124842</v>
      </c>
      <c r="W98" s="120">
        <v>-0.96842857318124842</v>
      </c>
      <c r="X98" s="120">
        <v>-0.95825406095107302</v>
      </c>
      <c r="Y98" s="120">
        <v>-0.95825406095107302</v>
      </c>
    </row>
    <row r="99" spans="3:25" x14ac:dyDescent="0.25">
      <c r="D99"/>
      <c r="E99" t="s">
        <v>196</v>
      </c>
      <c r="G99" s="28" t="s">
        <v>283</v>
      </c>
      <c r="J99" s="79"/>
      <c r="K99" s="79"/>
      <c r="L99" s="79"/>
      <c r="M99" s="79"/>
      <c r="N99" s="79"/>
      <c r="O99" s="79"/>
      <c r="P99" s="79"/>
      <c r="Q99" s="79"/>
      <c r="R99" s="120">
        <v>-8.0897801442802481E-2</v>
      </c>
      <c r="S99" s="120">
        <v>-7.8571426818751552E-2</v>
      </c>
      <c r="T99" s="120">
        <v>-8.0897801442802481E-2</v>
      </c>
      <c r="U99" s="120">
        <v>-8.0897801442802481E-2</v>
      </c>
      <c r="V99" s="120">
        <v>-7.8571426818751552E-2</v>
      </c>
      <c r="W99" s="120">
        <v>-7.8571426818751552E-2</v>
      </c>
      <c r="X99" s="120">
        <v>-7.7745939048927057E-2</v>
      </c>
      <c r="Y99" s="120">
        <v>-7.7745939048927057E-2</v>
      </c>
    </row>
    <row r="100" spans="3:25" x14ac:dyDescent="0.25">
      <c r="D100"/>
      <c r="E100" t="s">
        <v>197</v>
      </c>
      <c r="G100" s="28" t="s">
        <v>283</v>
      </c>
      <c r="J100" s="79"/>
      <c r="K100" s="79"/>
      <c r="L100" s="79"/>
      <c r="M100" s="79"/>
      <c r="N100" s="79"/>
      <c r="O100" s="79"/>
      <c r="P100" s="79"/>
      <c r="Q100" s="79"/>
      <c r="R100" s="120">
        <v>-1.0780000000000001</v>
      </c>
      <c r="S100" s="120">
        <v>-1.0469999999999999</v>
      </c>
      <c r="T100" s="120">
        <v>-1.0780000000000001</v>
      </c>
      <c r="U100" s="120">
        <v>-1.0780000000000001</v>
      </c>
      <c r="V100" s="120">
        <v>-1.0469999999999999</v>
      </c>
      <c r="W100" s="120">
        <v>-1.0469999999999999</v>
      </c>
      <c r="X100" s="120">
        <v>-1.036</v>
      </c>
      <c r="Y100" s="120">
        <v>-1.036</v>
      </c>
    </row>
    <row r="101" spans="3:25" x14ac:dyDescent="0.25">
      <c r="D101"/>
      <c r="E101" t="s">
        <v>198</v>
      </c>
      <c r="G101" s="28" t="s">
        <v>283</v>
      </c>
      <c r="J101" s="79"/>
      <c r="K101" s="79"/>
      <c r="L101" s="79"/>
      <c r="M101" s="79"/>
      <c r="N101" s="79"/>
      <c r="O101" s="79"/>
      <c r="P101" s="79"/>
      <c r="Q101" s="79"/>
      <c r="R101" s="120">
        <v>-1.0780000000000001</v>
      </c>
      <c r="S101" s="120">
        <v>-1.0469999999999999</v>
      </c>
      <c r="T101" s="120">
        <v>-1.0780000000000001</v>
      </c>
      <c r="U101" s="120">
        <v>-1.0780000000000001</v>
      </c>
      <c r="V101" s="120">
        <v>-1.0469999999999999</v>
      </c>
      <c r="W101" s="120">
        <v>-1.0469999999999999</v>
      </c>
      <c r="X101" s="120">
        <v>0</v>
      </c>
      <c r="Y101" s="120">
        <v>0</v>
      </c>
    </row>
    <row r="102" spans="3:25" x14ac:dyDescent="0.25">
      <c r="D102"/>
      <c r="E102" t="s">
        <v>199</v>
      </c>
      <c r="G102" s="28" t="s">
        <v>283</v>
      </c>
      <c r="J102" s="79"/>
      <c r="K102" s="79"/>
      <c r="L102" s="79"/>
      <c r="M102" s="79"/>
      <c r="N102" s="79"/>
      <c r="O102" s="79"/>
      <c r="P102" s="79"/>
      <c r="Q102" s="79"/>
      <c r="R102" s="120">
        <v>-1.0780000000000001</v>
      </c>
      <c r="S102" s="120">
        <v>0</v>
      </c>
      <c r="T102" s="120">
        <v>-1.0780000000000001</v>
      </c>
      <c r="U102" s="120">
        <v>-1.0780000000000001</v>
      </c>
      <c r="V102" s="120">
        <v>0</v>
      </c>
      <c r="W102" s="120">
        <v>0</v>
      </c>
      <c r="X102" s="120">
        <v>0</v>
      </c>
      <c r="Y102" s="120">
        <v>0</v>
      </c>
    </row>
    <row r="103" spans="3:25" x14ac:dyDescent="0.25">
      <c r="D103"/>
      <c r="E103" t="s">
        <v>376</v>
      </c>
      <c r="G103" s="28" t="s">
        <v>283</v>
      </c>
      <c r="J103" s="79"/>
      <c r="K103" s="79"/>
      <c r="L103" s="79"/>
      <c r="M103" s="79"/>
      <c r="N103" s="79"/>
      <c r="O103" s="79"/>
      <c r="P103" s="79"/>
      <c r="Q103" s="79"/>
      <c r="R103" s="79"/>
      <c r="S103" s="79"/>
      <c r="T103" s="79"/>
      <c r="U103" s="79"/>
      <c r="V103" s="79"/>
      <c r="W103" s="79"/>
      <c r="X103" s="79"/>
      <c r="Y103" s="79"/>
    </row>
    <row r="104" spans="3:25" x14ac:dyDescent="0.25">
      <c r="D104"/>
      <c r="E104" s="37" t="s">
        <v>377</v>
      </c>
      <c r="F104" s="37"/>
      <c r="G104" s="67" t="s">
        <v>283</v>
      </c>
      <c r="H104" s="37"/>
      <c r="I104" s="37"/>
      <c r="J104" s="81"/>
      <c r="K104" s="81"/>
      <c r="L104" s="81"/>
      <c r="M104" s="81"/>
      <c r="N104" s="81"/>
      <c r="O104" s="81"/>
      <c r="P104" s="81"/>
      <c r="Q104" s="81"/>
      <c r="R104" s="81"/>
      <c r="S104" s="81"/>
      <c r="T104" s="81"/>
      <c r="U104" s="81"/>
      <c r="V104" s="81"/>
      <c r="W104" s="81"/>
      <c r="X104" s="81"/>
      <c r="Y104" s="81"/>
    </row>
    <row r="105" spans="3:25" x14ac:dyDescent="0.25">
      <c r="C105" s="88"/>
    </row>
    <row r="106" spans="3:25" x14ac:dyDescent="0.25">
      <c r="D106" s="32" t="s">
        <v>416</v>
      </c>
      <c r="E106"/>
    </row>
    <row r="107" spans="3:25" x14ac:dyDescent="0.25">
      <c r="C107" s="88"/>
      <c r="E107" s="23" t="s">
        <v>189</v>
      </c>
      <c r="F107" s="23"/>
      <c r="G107" s="23" t="s">
        <v>167</v>
      </c>
      <c r="H107" s="23"/>
      <c r="I107" s="23"/>
      <c r="J107" s="65"/>
      <c r="K107" s="65"/>
      <c r="L107" s="65"/>
      <c r="M107" s="65"/>
      <c r="N107" s="65"/>
      <c r="O107" s="65"/>
      <c r="P107" s="65"/>
      <c r="Q107" s="65"/>
      <c r="R107" s="65"/>
      <c r="S107" s="65"/>
      <c r="T107" s="65"/>
      <c r="U107" s="65"/>
      <c r="V107" s="65"/>
      <c r="W107" s="65"/>
      <c r="X107" s="65"/>
      <c r="Y107" s="65"/>
    </row>
    <row r="108" spans="3:25" x14ac:dyDescent="0.25">
      <c r="C108" s="88"/>
      <c r="E108" t="s">
        <v>191</v>
      </c>
      <c r="G108" t="s">
        <v>167</v>
      </c>
      <c r="J108" s="66"/>
      <c r="K108" s="66"/>
      <c r="L108" s="66"/>
      <c r="M108" s="66"/>
      <c r="N108" s="66"/>
      <c r="O108" s="66"/>
      <c r="P108" s="66"/>
      <c r="Q108" s="66"/>
      <c r="R108" s="66"/>
      <c r="S108" s="66"/>
      <c r="T108" s="66"/>
      <c r="U108" s="66"/>
      <c r="V108" s="66"/>
      <c r="W108" s="66"/>
      <c r="X108" s="66"/>
      <c r="Y108" s="66"/>
    </row>
    <row r="109" spans="3:25" x14ac:dyDescent="0.25">
      <c r="C109" s="88"/>
      <c r="E109" t="s">
        <v>192</v>
      </c>
      <c r="G109" t="s">
        <v>167</v>
      </c>
      <c r="J109" s="25">
        <f t="array" ref="J109:Y116">TRANSPOSE('Customer contributions'!L51:S66)</f>
        <v>0</v>
      </c>
      <c r="K109" s="25">
        <v>0</v>
      </c>
      <c r="L109" s="25">
        <v>0</v>
      </c>
      <c r="M109" s="25">
        <v>0</v>
      </c>
      <c r="N109" s="25">
        <v>0</v>
      </c>
      <c r="O109" s="25">
        <v>0</v>
      </c>
      <c r="P109" s="25">
        <v>0</v>
      </c>
      <c r="Q109" s="25">
        <v>0</v>
      </c>
      <c r="R109" s="25">
        <v>0</v>
      </c>
      <c r="S109" s="25">
        <v>0</v>
      </c>
      <c r="T109" s="25">
        <v>0</v>
      </c>
      <c r="U109" s="25">
        <v>0</v>
      </c>
      <c r="V109" s="25">
        <v>0</v>
      </c>
      <c r="W109" s="25">
        <v>0</v>
      </c>
      <c r="X109" s="25">
        <v>0</v>
      </c>
      <c r="Y109" s="25">
        <v>0</v>
      </c>
    </row>
    <row r="110" spans="3:25" x14ac:dyDescent="0.25">
      <c r="C110" s="88"/>
      <c r="E110" t="s">
        <v>193</v>
      </c>
      <c r="G110" t="s">
        <v>167</v>
      </c>
      <c r="J110" s="25">
        <v>0</v>
      </c>
      <c r="K110" s="25">
        <v>0</v>
      </c>
      <c r="L110" s="25">
        <v>0</v>
      </c>
      <c r="M110" s="25">
        <v>0</v>
      </c>
      <c r="N110" s="25">
        <v>0</v>
      </c>
      <c r="O110" s="25">
        <v>0</v>
      </c>
      <c r="P110" s="25">
        <v>0</v>
      </c>
      <c r="Q110" s="25">
        <v>0</v>
      </c>
      <c r="R110" s="25">
        <v>0</v>
      </c>
      <c r="S110" s="25">
        <v>0</v>
      </c>
      <c r="T110" s="25">
        <v>0</v>
      </c>
      <c r="U110" s="25">
        <v>0</v>
      </c>
      <c r="V110" s="25">
        <v>0</v>
      </c>
      <c r="W110" s="25">
        <v>0</v>
      </c>
      <c r="X110" s="25">
        <v>0</v>
      </c>
      <c r="Y110" s="25">
        <v>0</v>
      </c>
    </row>
    <row r="111" spans="3:25" x14ac:dyDescent="0.25">
      <c r="C111" s="88"/>
      <c r="E111" t="s">
        <v>194</v>
      </c>
      <c r="G111" t="s">
        <v>167</v>
      </c>
      <c r="J111" s="25">
        <v>0</v>
      </c>
      <c r="K111" s="25">
        <v>0</v>
      </c>
      <c r="L111" s="25">
        <v>0</v>
      </c>
      <c r="M111" s="25">
        <v>0</v>
      </c>
      <c r="N111" s="25">
        <v>0</v>
      </c>
      <c r="O111" s="25">
        <v>0</v>
      </c>
      <c r="P111" s="25">
        <v>6.5420049562801799E-2</v>
      </c>
      <c r="Q111" s="25">
        <v>0</v>
      </c>
      <c r="R111" s="25">
        <v>0</v>
      </c>
      <c r="S111" s="25">
        <v>0</v>
      </c>
      <c r="T111" s="25">
        <v>0</v>
      </c>
      <c r="U111" s="25">
        <v>0</v>
      </c>
      <c r="V111" s="25">
        <v>0</v>
      </c>
      <c r="W111" s="25">
        <v>0</v>
      </c>
      <c r="X111" s="25">
        <v>6.5420049562801799E-2</v>
      </c>
      <c r="Y111" s="25">
        <v>6.5420049562801799E-2</v>
      </c>
    </row>
    <row r="112" spans="3:25" x14ac:dyDescent="0.25">
      <c r="C112" s="88"/>
      <c r="E112" t="s">
        <v>195</v>
      </c>
      <c r="G112" t="s">
        <v>167</v>
      </c>
      <c r="J112" s="25">
        <v>0</v>
      </c>
      <c r="K112" s="25">
        <v>0</v>
      </c>
      <c r="L112" s="25">
        <v>0</v>
      </c>
      <c r="M112" s="25">
        <v>0</v>
      </c>
      <c r="N112" s="25">
        <v>0</v>
      </c>
      <c r="O112" s="25">
        <v>0</v>
      </c>
      <c r="P112" s="25">
        <v>0.35162962287700078</v>
      </c>
      <c r="Q112" s="25">
        <v>0</v>
      </c>
      <c r="R112" s="25">
        <v>0</v>
      </c>
      <c r="S112" s="25">
        <v>0</v>
      </c>
      <c r="T112" s="25">
        <v>0</v>
      </c>
      <c r="U112" s="25">
        <v>0</v>
      </c>
      <c r="V112" s="25">
        <v>0</v>
      </c>
      <c r="W112" s="25">
        <v>0</v>
      </c>
      <c r="X112" s="25">
        <v>0.35162962287700078</v>
      </c>
      <c r="Y112" s="25">
        <v>0.35162962287700078</v>
      </c>
    </row>
    <row r="113" spans="3:27" x14ac:dyDescent="0.25">
      <c r="C113" s="88"/>
      <c r="E113" t="s">
        <v>196</v>
      </c>
      <c r="G113" t="s">
        <v>167</v>
      </c>
      <c r="J113" s="25">
        <v>0</v>
      </c>
      <c r="K113" s="25">
        <v>0</v>
      </c>
      <c r="L113" s="25">
        <v>0</v>
      </c>
      <c r="M113" s="25">
        <v>0</v>
      </c>
      <c r="N113" s="25">
        <v>0</v>
      </c>
      <c r="O113" s="25">
        <v>0</v>
      </c>
      <c r="P113" s="25">
        <v>0.35162962287700078</v>
      </c>
      <c r="Q113" s="25">
        <v>0</v>
      </c>
      <c r="R113" s="25">
        <v>0</v>
      </c>
      <c r="S113" s="25">
        <v>0</v>
      </c>
      <c r="T113" s="25">
        <v>0</v>
      </c>
      <c r="U113" s="25">
        <v>0</v>
      </c>
      <c r="V113" s="25">
        <v>0</v>
      </c>
      <c r="W113" s="25">
        <v>0</v>
      </c>
      <c r="X113" s="25">
        <v>0.35162962287700078</v>
      </c>
      <c r="Y113" s="25">
        <v>0.35162962287700078</v>
      </c>
    </row>
    <row r="114" spans="3:27" x14ac:dyDescent="0.25">
      <c r="C114" s="88"/>
      <c r="E114" t="s">
        <v>197</v>
      </c>
      <c r="G114" t="s">
        <v>167</v>
      </c>
      <c r="J114" s="25">
        <v>0.47913351897273304</v>
      </c>
      <c r="K114" s="25">
        <v>0.47913351897273304</v>
      </c>
      <c r="L114" s="25">
        <v>0.47913351897273304</v>
      </c>
      <c r="M114" s="25">
        <v>0.47913351897273304</v>
      </c>
      <c r="N114" s="25">
        <v>0.47913351897273304</v>
      </c>
      <c r="O114" s="25">
        <v>0.47913351897273304</v>
      </c>
      <c r="P114" s="25">
        <v>0.63783919619119978</v>
      </c>
      <c r="Q114" s="25">
        <v>0.47913351897273304</v>
      </c>
      <c r="R114" s="25">
        <v>0.47913351897273304</v>
      </c>
      <c r="S114" s="25">
        <v>0.47913351897273304</v>
      </c>
      <c r="T114" s="25">
        <v>0.47913351897273304</v>
      </c>
      <c r="U114" s="25">
        <v>0.47913351897273304</v>
      </c>
      <c r="V114" s="25">
        <v>0.47913351897273304</v>
      </c>
      <c r="W114" s="25">
        <v>0.47913351897273304</v>
      </c>
      <c r="X114" s="25">
        <v>0.63783919619119978</v>
      </c>
      <c r="Y114" s="25">
        <v>0.63783919619119978</v>
      </c>
    </row>
    <row r="115" spans="3:27" x14ac:dyDescent="0.25">
      <c r="C115" s="88"/>
      <c r="E115" t="s">
        <v>198</v>
      </c>
      <c r="G115" t="s">
        <v>167</v>
      </c>
      <c r="J115" s="25">
        <v>0.70892384564689981</v>
      </c>
      <c r="K115" s="25">
        <v>0.70892384564689981</v>
      </c>
      <c r="L115" s="25">
        <v>0.70892384564689981</v>
      </c>
      <c r="M115" s="25">
        <v>0.70892384564689981</v>
      </c>
      <c r="N115" s="25">
        <v>0.70892384564689981</v>
      </c>
      <c r="O115" s="25">
        <v>0.70892384564689981</v>
      </c>
      <c r="P115" s="25">
        <v>0</v>
      </c>
      <c r="Q115" s="25">
        <v>0.70892384564689981</v>
      </c>
      <c r="R115" s="25">
        <v>0.70892384564689981</v>
      </c>
      <c r="S115" s="25">
        <v>0.70892384564689981</v>
      </c>
      <c r="T115" s="25">
        <v>0.70892384564689981</v>
      </c>
      <c r="U115" s="25">
        <v>0.70892384564689981</v>
      </c>
      <c r="V115" s="25">
        <v>0.70892384564689981</v>
      </c>
      <c r="W115" s="25">
        <v>0.70892384564689981</v>
      </c>
      <c r="X115" s="25">
        <v>0</v>
      </c>
      <c r="Y115" s="25">
        <v>0</v>
      </c>
    </row>
    <row r="116" spans="3:27" x14ac:dyDescent="0.25">
      <c r="C116" s="88"/>
      <c r="E116" t="s">
        <v>199</v>
      </c>
      <c r="G116" t="s">
        <v>167</v>
      </c>
      <c r="J116" s="25">
        <v>0.93871417232106646</v>
      </c>
      <c r="K116" s="25">
        <v>0.93871417232106646</v>
      </c>
      <c r="L116" s="25">
        <v>0.93871417232106646</v>
      </c>
      <c r="M116" s="25">
        <v>0.93871417232106646</v>
      </c>
      <c r="N116" s="25">
        <v>0.93871417232106646</v>
      </c>
      <c r="O116" s="25">
        <v>0</v>
      </c>
      <c r="P116" s="25">
        <v>0</v>
      </c>
      <c r="Q116" s="25">
        <v>0.93871417232106646</v>
      </c>
      <c r="R116" s="25">
        <v>0.93871417232106646</v>
      </c>
      <c r="S116" s="25">
        <v>0</v>
      </c>
      <c r="T116" s="25">
        <v>0.93871417232106646</v>
      </c>
      <c r="U116" s="25">
        <v>0.93871417232106646</v>
      </c>
      <c r="V116" s="25">
        <v>0</v>
      </c>
      <c r="W116" s="25">
        <v>0</v>
      </c>
      <c r="X116" s="25">
        <v>0</v>
      </c>
      <c r="Y116" s="25">
        <v>0</v>
      </c>
    </row>
    <row r="117" spans="3:27" x14ac:dyDescent="0.25">
      <c r="C117" s="88"/>
      <c r="E117" t="s">
        <v>376</v>
      </c>
      <c r="G117" t="s">
        <v>167</v>
      </c>
      <c r="J117" s="66"/>
      <c r="K117" s="66"/>
      <c r="L117" s="66"/>
      <c r="M117" s="66"/>
      <c r="N117" s="66"/>
      <c r="O117" s="66"/>
      <c r="P117" s="66"/>
      <c r="Q117" s="66"/>
      <c r="R117" s="66"/>
      <c r="S117" s="66"/>
      <c r="T117" s="66"/>
      <c r="U117" s="66"/>
      <c r="V117" s="66"/>
      <c r="W117" s="66"/>
      <c r="X117" s="66"/>
      <c r="Y117" s="66"/>
    </row>
    <row r="118" spans="3:27" x14ac:dyDescent="0.25">
      <c r="C118" s="88"/>
      <c r="E118" s="37" t="s">
        <v>377</v>
      </c>
      <c r="F118" s="37"/>
      <c r="G118" s="37" t="s">
        <v>167</v>
      </c>
      <c r="H118" s="37"/>
      <c r="I118" s="37"/>
      <c r="J118" s="68"/>
      <c r="K118" s="68"/>
      <c r="L118" s="68"/>
      <c r="M118" s="68"/>
      <c r="N118" s="68"/>
      <c r="O118" s="68"/>
      <c r="P118" s="68"/>
      <c r="Q118" s="68"/>
      <c r="R118" s="68"/>
      <c r="S118" s="68"/>
      <c r="T118" s="68"/>
      <c r="U118" s="68"/>
      <c r="V118" s="68"/>
      <c r="W118" s="68"/>
      <c r="X118" s="68"/>
      <c r="Y118" s="68"/>
    </row>
    <row r="120" spans="3:27" x14ac:dyDescent="0.25">
      <c r="C120" s="31" t="str">
        <f ca="1">INDEX('Version control'!$H$34:$H$57,MATCH($A$1,'Version control'!$F$34:$F$57,0),1)&amp;"-B: Yardstick charge (demand)"</f>
        <v>Section 112-B: Yardstick charge (demand)</v>
      </c>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row>
    <row r="121" spans="3:27" x14ac:dyDescent="0.25">
      <c r="C121" s="32"/>
      <c r="D121"/>
      <c r="E121" s="32"/>
    </row>
    <row r="122" spans="3:27" x14ac:dyDescent="0.25">
      <c r="D122" s="32" t="s">
        <v>621</v>
      </c>
      <c r="E122"/>
    </row>
    <row r="123" spans="3:27" x14ac:dyDescent="0.25">
      <c r="E123" s="23" t="s">
        <v>189</v>
      </c>
      <c r="F123" s="23"/>
      <c r="G123" s="23" t="s">
        <v>269</v>
      </c>
      <c r="H123" s="267"/>
      <c r="I123" s="267"/>
      <c r="J123" s="285"/>
      <c r="K123" s="285"/>
      <c r="L123" s="285"/>
      <c r="M123" s="285"/>
      <c r="N123" s="285"/>
      <c r="O123" s="285"/>
      <c r="P123" s="285"/>
      <c r="Q123" s="285"/>
      <c r="R123" s="285"/>
      <c r="S123" s="285"/>
      <c r="T123" s="285"/>
      <c r="U123" s="285"/>
      <c r="V123" s="285"/>
      <c r="W123" s="285"/>
      <c r="X123" s="285"/>
      <c r="Y123" s="285"/>
      <c r="Z123" s="269"/>
      <c r="AA123" s="269"/>
    </row>
    <row r="124" spans="3:27" x14ac:dyDescent="0.25">
      <c r="E124" t="s">
        <v>191</v>
      </c>
      <c r="G124" t="s">
        <v>269</v>
      </c>
      <c r="H124" s="269"/>
      <c r="I124" s="269"/>
      <c r="J124" s="270"/>
      <c r="K124" s="270"/>
      <c r="L124" s="270"/>
      <c r="M124" s="270"/>
      <c r="N124" s="270"/>
      <c r="O124" s="270"/>
      <c r="P124" s="270"/>
      <c r="Q124" s="270"/>
      <c r="R124" s="270"/>
      <c r="S124" s="270"/>
      <c r="T124" s="270"/>
      <c r="U124" s="270"/>
      <c r="V124" s="270"/>
      <c r="W124" s="270"/>
      <c r="X124" s="270"/>
      <c r="Y124" s="270"/>
      <c r="Z124" s="269"/>
      <c r="AA124" s="269"/>
    </row>
    <row r="125" spans="3:27" x14ac:dyDescent="0.25">
      <c r="E125" t="s">
        <v>192</v>
      </c>
      <c r="G125" t="s">
        <v>269</v>
      </c>
      <c r="H125" s="269"/>
      <c r="I125" s="269"/>
      <c r="J125" s="284">
        <f>'Initial unit rates'!J125</f>
        <v>0.13631489094366667</v>
      </c>
      <c r="K125" s="284">
        <f>'Initial unit rates'!K125</f>
        <v>0</v>
      </c>
      <c r="L125" s="284">
        <f>'Initial unit rates'!L125</f>
        <v>0.108407888461169</v>
      </c>
      <c r="M125" s="284">
        <f>'Initial unit rates'!M125</f>
        <v>0</v>
      </c>
      <c r="N125" s="284">
        <f>'Initial unit rates'!N125</f>
        <v>9.0450625423629402E-2</v>
      </c>
      <c r="O125" s="284">
        <f>'Initial unit rates'!O125</f>
        <v>8.7936209269736193E-2</v>
      </c>
      <c r="P125" s="284">
        <f>'Initial unit rates'!P125</f>
        <v>6.970545123875975E-2</v>
      </c>
      <c r="Q125" s="284">
        <f>'Initial unit rates'!Q125</f>
        <v>0.12439691100669045</v>
      </c>
      <c r="R125" s="270"/>
      <c r="S125" s="270"/>
      <c r="T125" s="270"/>
      <c r="U125" s="270"/>
      <c r="V125" s="270"/>
      <c r="W125" s="270"/>
      <c r="X125" s="270"/>
      <c r="Y125" s="270"/>
      <c r="Z125" s="269"/>
      <c r="AA125" s="269"/>
    </row>
    <row r="126" spans="3:27" x14ac:dyDescent="0.25">
      <c r="E126" t="s">
        <v>193</v>
      </c>
      <c r="G126" t="s">
        <v>269</v>
      </c>
      <c r="H126" s="269"/>
      <c r="I126" s="269"/>
      <c r="J126" s="284">
        <f>'Initial unit rates'!J126</f>
        <v>7.1223258568095429E-2</v>
      </c>
      <c r="K126" s="284">
        <f>'Initial unit rates'!K126</f>
        <v>0</v>
      </c>
      <c r="L126" s="284">
        <f>'Initial unit rates'!L126</f>
        <v>5.6642110170354962E-2</v>
      </c>
      <c r="M126" s="284">
        <f>'Initial unit rates'!M126</f>
        <v>0</v>
      </c>
      <c r="N126" s="284">
        <f>'Initial unit rates'!N126</f>
        <v>4.72596077918985E-2</v>
      </c>
      <c r="O126" s="284">
        <f>'Initial unit rates'!O126</f>
        <v>4.5945848813427538E-2</v>
      </c>
      <c r="P126" s="284">
        <f>'Initial unit rates'!P126</f>
        <v>3.6420447852873523E-2</v>
      </c>
      <c r="Q126" s="284">
        <f>'Initial unit rates'!Q126</f>
        <v>6.4996225257322224E-2</v>
      </c>
      <c r="R126" s="270"/>
      <c r="S126" s="270"/>
      <c r="T126" s="270"/>
      <c r="U126" s="270"/>
      <c r="V126" s="270"/>
      <c r="W126" s="270"/>
      <c r="X126" s="270"/>
      <c r="Y126" s="270"/>
      <c r="Z126" s="269"/>
      <c r="AA126" s="269"/>
    </row>
    <row r="127" spans="3:27" x14ac:dyDescent="0.25">
      <c r="E127" t="s">
        <v>194</v>
      </c>
      <c r="G127" t="s">
        <v>269</v>
      </c>
      <c r="H127" s="269"/>
      <c r="I127" s="269"/>
      <c r="J127" s="284">
        <f>'Initial unit rates'!J127</f>
        <v>8.7986692659446739E-2</v>
      </c>
      <c r="K127" s="284">
        <f>'Initial unit rates'!K127</f>
        <v>0</v>
      </c>
      <c r="L127" s="284">
        <f>'Initial unit rates'!L127</f>
        <v>6.9973658034427857E-2</v>
      </c>
      <c r="M127" s="284">
        <f>'Initial unit rates'!M127</f>
        <v>0</v>
      </c>
      <c r="N127" s="284">
        <f>'Initial unit rates'!N127</f>
        <v>5.8382846693487943E-2</v>
      </c>
      <c r="O127" s="284">
        <f>'Initial unit rates'!O127</f>
        <v>5.6759875352506733E-2</v>
      </c>
      <c r="P127" s="284">
        <f>'Initial unit rates'!P127</f>
        <v>4.2049118477254309E-2</v>
      </c>
      <c r="Q127" s="284">
        <f>'Initial unit rates'!Q127</f>
        <v>8.0294036115639428E-2</v>
      </c>
      <c r="R127" s="270"/>
      <c r="S127" s="270"/>
      <c r="T127" s="270"/>
      <c r="U127" s="270"/>
      <c r="V127" s="270"/>
      <c r="W127" s="270"/>
      <c r="X127" s="270"/>
      <c r="Y127" s="270"/>
      <c r="Z127" s="269"/>
      <c r="AA127" s="269"/>
    </row>
    <row r="128" spans="3:27" x14ac:dyDescent="0.25">
      <c r="E128" t="s">
        <v>195</v>
      </c>
      <c r="G128" t="s">
        <v>269</v>
      </c>
      <c r="H128" s="269"/>
      <c r="I128" s="269"/>
      <c r="J128" s="284">
        <f>'Initial unit rates'!J128</f>
        <v>0.14154545805339536</v>
      </c>
      <c r="K128" s="284">
        <f>'Initial unit rates'!K128</f>
        <v>0</v>
      </c>
      <c r="L128" s="284">
        <f>'Initial unit rates'!L128</f>
        <v>0.11256763015846058</v>
      </c>
      <c r="M128" s="284">
        <f>'Initial unit rates'!M128</f>
        <v>0</v>
      </c>
      <c r="N128" s="284">
        <f>'Initial unit rates'!N128</f>
        <v>9.3921325235807221E-2</v>
      </c>
      <c r="O128" s="284">
        <f>'Initial unit rates'!O128</f>
        <v>9.1310427895275645E-2</v>
      </c>
      <c r="P128" s="284">
        <f>'Initial unit rates'!P128</f>
        <v>4.6929134548110062E-2</v>
      </c>
      <c r="Q128" s="284">
        <f>'Initial unit rates'!Q128</f>
        <v>0.12917017082268761</v>
      </c>
      <c r="R128" s="270"/>
      <c r="S128" s="270"/>
      <c r="T128" s="270"/>
      <c r="U128" s="270"/>
      <c r="V128" s="270"/>
      <c r="W128" s="270"/>
      <c r="X128" s="270"/>
      <c r="Y128" s="270"/>
      <c r="Z128" s="269"/>
      <c r="AA128" s="269"/>
    </row>
    <row r="129" spans="4:27" x14ac:dyDescent="0.25">
      <c r="E129" t="s">
        <v>196</v>
      </c>
      <c r="G129" t="s">
        <v>269</v>
      </c>
      <c r="H129" s="269"/>
      <c r="I129" s="269"/>
      <c r="J129" s="284">
        <f>'Initial unit rates'!J129</f>
        <v>1.1919119646475729E-2</v>
      </c>
      <c r="K129" s="284">
        <f>'Initial unit rates'!K129</f>
        <v>0</v>
      </c>
      <c r="L129" s="284">
        <f>'Initial unit rates'!L129</f>
        <v>9.478983434938533E-3</v>
      </c>
      <c r="M129" s="284">
        <f>'Initial unit rates'!M129</f>
        <v>0</v>
      </c>
      <c r="N129" s="284">
        <f>'Initial unit rates'!N129</f>
        <v>7.908833870309365E-3</v>
      </c>
      <c r="O129" s="284">
        <f>'Initial unit rates'!O129</f>
        <v>7.6889780147105079E-3</v>
      </c>
      <c r="P129" s="284">
        <f>'Initial unit rates'!P129</f>
        <v>3.9517620507008838E-3</v>
      </c>
      <c r="Q129" s="284">
        <f>'Initial unit rates'!Q129</f>
        <v>1.0877033724462845E-2</v>
      </c>
      <c r="R129" s="270"/>
      <c r="S129" s="270"/>
      <c r="T129" s="270"/>
      <c r="U129" s="270"/>
      <c r="V129" s="270"/>
      <c r="W129" s="270"/>
      <c r="X129" s="270"/>
      <c r="Y129" s="270"/>
      <c r="Z129" s="269"/>
      <c r="AA129" s="269"/>
    </row>
    <row r="130" spans="4:27" x14ac:dyDescent="0.25">
      <c r="E130" t="s">
        <v>197</v>
      </c>
      <c r="G130" t="s">
        <v>269</v>
      </c>
      <c r="H130" s="269"/>
      <c r="I130" s="269"/>
      <c r="J130" s="284">
        <f>'Initial unit rates'!J130</f>
        <v>0.16985273714438406</v>
      </c>
      <c r="K130" s="284">
        <f>'Initial unit rates'!K130</f>
        <v>0</v>
      </c>
      <c r="L130" s="284">
        <f>'Initial unit rates'!L130</f>
        <v>0.13507971473771074</v>
      </c>
      <c r="M130" s="284">
        <f>'Initial unit rates'!M130</f>
        <v>0</v>
      </c>
      <c r="N130" s="284">
        <f>'Initial unit rates'!N130</f>
        <v>0.11270438760042645</v>
      </c>
      <c r="O130" s="284">
        <f>'Initial unit rates'!O130</f>
        <v>0.10957134422488422</v>
      </c>
      <c r="P130" s="284">
        <f>'Initial unit rates'!P130</f>
        <v>6.0390833998142289E-2</v>
      </c>
      <c r="Q130" s="284">
        <f>'Initial unit rates'!Q130</f>
        <v>0.15500255093571944</v>
      </c>
      <c r="R130" s="270"/>
      <c r="S130" s="270"/>
      <c r="T130" s="270"/>
      <c r="U130" s="270"/>
      <c r="V130" s="270"/>
      <c r="W130" s="270"/>
      <c r="X130" s="270"/>
      <c r="Y130" s="270"/>
      <c r="Z130" s="269"/>
      <c r="AA130" s="269"/>
    </row>
    <row r="131" spans="4:27" x14ac:dyDescent="0.25">
      <c r="E131" t="s">
        <v>198</v>
      </c>
      <c r="G131" t="s">
        <v>269</v>
      </c>
      <c r="H131" s="269"/>
      <c r="I131" s="269"/>
      <c r="J131" s="284">
        <f>'Initial unit rates'!J131</f>
        <v>4.3449336875429255E-2</v>
      </c>
      <c r="K131" s="284">
        <f>'Initial unit rates'!K131</f>
        <v>0</v>
      </c>
      <c r="L131" s="284">
        <f>'Initial unit rates'!L131</f>
        <v>3.4554191644769354E-2</v>
      </c>
      <c r="M131" s="284">
        <f>'Initial unit rates'!M131</f>
        <v>0</v>
      </c>
      <c r="N131" s="284">
        <f>'Initial unit rates'!N131</f>
        <v>2.8830450344919802E-2</v>
      </c>
      <c r="O131" s="284">
        <f>'Initial unit rates'!O131</f>
        <v>2.8028999279968471E-2</v>
      </c>
      <c r="P131" s="284">
        <f>'Initial unit rates'!P131</f>
        <v>0</v>
      </c>
      <c r="Q131" s="284">
        <f>'Initial unit rates'!Q131</f>
        <v>3.9650571226485722E-2</v>
      </c>
      <c r="R131" s="270"/>
      <c r="S131" s="270"/>
      <c r="T131" s="270"/>
      <c r="U131" s="270"/>
      <c r="V131" s="270"/>
      <c r="W131" s="270"/>
      <c r="X131" s="270"/>
      <c r="Y131" s="270"/>
      <c r="Z131" s="269"/>
      <c r="AA131" s="269"/>
    </row>
    <row r="132" spans="4:27" x14ac:dyDescent="0.25">
      <c r="E132" t="s">
        <v>199</v>
      </c>
      <c r="G132" t="s">
        <v>269</v>
      </c>
      <c r="H132" s="269"/>
      <c r="I132" s="269"/>
      <c r="J132" s="284">
        <f>'Initial unit rates'!J132</f>
        <v>1.8234291552603202E-2</v>
      </c>
      <c r="K132" s="284">
        <f>'Initial unit rates'!K132</f>
        <v>0</v>
      </c>
      <c r="L132" s="284">
        <f>'Initial unit rates'!L132</f>
        <v>1.4501284717455773E-2</v>
      </c>
      <c r="M132" s="284">
        <f>'Initial unit rates'!M132</f>
        <v>0</v>
      </c>
      <c r="N132" s="284">
        <f>'Initial unit rates'!N132</f>
        <v>1.2099214280055075E-2</v>
      </c>
      <c r="O132" s="284">
        <f>'Initial unit rates'!O132</f>
        <v>0</v>
      </c>
      <c r="P132" s="284">
        <f>'Initial unit rates'!P132</f>
        <v>0</v>
      </c>
      <c r="Q132" s="284">
        <f>'Initial unit rates'!Q132</f>
        <v>1.6640071585991432E-2</v>
      </c>
      <c r="R132" s="270"/>
      <c r="S132" s="270"/>
      <c r="T132" s="270"/>
      <c r="U132" s="270"/>
      <c r="V132" s="270"/>
      <c r="W132" s="270"/>
      <c r="X132" s="270"/>
      <c r="Y132" s="270"/>
      <c r="Z132" s="269"/>
      <c r="AA132" s="269"/>
    </row>
    <row r="133" spans="4:27" x14ac:dyDescent="0.25">
      <c r="E133" t="s">
        <v>376</v>
      </c>
      <c r="G133" t="s">
        <v>269</v>
      </c>
      <c r="H133" s="269"/>
      <c r="I133" s="269"/>
      <c r="J133" s="270"/>
      <c r="K133" s="270"/>
      <c r="L133" s="270"/>
      <c r="M133" s="270"/>
      <c r="N133" s="270"/>
      <c r="O133" s="270"/>
      <c r="P133" s="270"/>
      <c r="Q133" s="270"/>
      <c r="R133" s="270"/>
      <c r="S133" s="270"/>
      <c r="T133" s="270"/>
      <c r="U133" s="270"/>
      <c r="V133" s="270"/>
      <c r="W133" s="270"/>
      <c r="X133" s="270"/>
      <c r="Y133" s="270"/>
      <c r="Z133" s="269"/>
      <c r="AA133" s="269"/>
    </row>
    <row r="134" spans="4:27" x14ac:dyDescent="0.25">
      <c r="E134" s="37" t="s">
        <v>377</v>
      </c>
      <c r="F134" s="37"/>
      <c r="G134" s="37" t="s">
        <v>269</v>
      </c>
      <c r="H134" s="273"/>
      <c r="I134" s="273"/>
      <c r="J134" s="274"/>
      <c r="K134" s="274"/>
      <c r="L134" s="274"/>
      <c r="M134" s="274"/>
      <c r="N134" s="274"/>
      <c r="O134" s="274"/>
      <c r="P134" s="274"/>
      <c r="Q134" s="274"/>
      <c r="R134" s="274"/>
      <c r="S134" s="274"/>
      <c r="T134" s="274"/>
      <c r="U134" s="274"/>
      <c r="V134" s="274"/>
      <c r="W134" s="274"/>
      <c r="X134" s="274"/>
      <c r="Y134" s="274"/>
      <c r="Z134" s="269"/>
      <c r="AA134" s="269"/>
    </row>
    <row r="135" spans="4:27" x14ac:dyDescent="0.25">
      <c r="E135"/>
      <c r="J135" s="89"/>
      <c r="K135" s="89"/>
      <c r="L135" s="89"/>
      <c r="M135" s="89"/>
      <c r="N135" s="89"/>
      <c r="O135" s="89"/>
      <c r="P135" s="89"/>
      <c r="Q135" s="89"/>
      <c r="R135" s="89"/>
      <c r="S135" s="89"/>
      <c r="T135" s="89"/>
      <c r="U135" s="89"/>
      <c r="V135" s="89"/>
      <c r="W135" s="89"/>
      <c r="X135" s="89"/>
      <c r="Y135" s="89"/>
    </row>
    <row r="136" spans="4:27" x14ac:dyDescent="0.25">
      <c r="D136" s="32" t="s">
        <v>622</v>
      </c>
      <c r="E136"/>
      <c r="J136" s="89"/>
      <c r="K136" s="89"/>
      <c r="L136" s="89"/>
      <c r="M136" s="89"/>
      <c r="N136" s="89"/>
      <c r="O136" s="89"/>
      <c r="P136" s="89"/>
      <c r="Q136" s="89"/>
      <c r="R136" s="89"/>
      <c r="S136" s="89"/>
      <c r="T136" s="89"/>
      <c r="U136" s="89"/>
      <c r="V136" s="89"/>
      <c r="W136" s="89"/>
      <c r="X136" s="89"/>
      <c r="Y136" s="89"/>
    </row>
    <row r="137" spans="4:27" x14ac:dyDescent="0.25">
      <c r="E137" s="23" t="s">
        <v>189</v>
      </c>
      <c r="F137" s="23"/>
      <c r="G137" s="23" t="s">
        <v>269</v>
      </c>
      <c r="H137" s="267"/>
      <c r="I137" s="267"/>
      <c r="J137" s="283">
        <f>'Initial unit rates'!J135</f>
        <v>7.9758789662922755E-2</v>
      </c>
      <c r="K137" s="283">
        <f>'Initial unit rates'!K135</f>
        <v>0</v>
      </c>
      <c r="L137" s="283">
        <f>'Initial unit rates'!L135</f>
        <v>6.3430208642056604E-2</v>
      </c>
      <c r="M137" s="283">
        <f>'Initial unit rates'!M135</f>
        <v>0</v>
      </c>
      <c r="N137" s="283">
        <f>'Initial unit rates'!N135</f>
        <v>5.2923289290708643E-2</v>
      </c>
      <c r="O137" s="283">
        <f>'Initial unit rates'!O135</f>
        <v>5.1452086931559914E-2</v>
      </c>
      <c r="P137" s="283">
        <f>'Initial unit rates'!P135</f>
        <v>4.0785143759597915E-2</v>
      </c>
      <c r="Q137" s="283">
        <f>'Initial unit rates'!Q135</f>
        <v>7.2785496808270178E-2</v>
      </c>
      <c r="R137" s="285"/>
      <c r="S137" s="285"/>
      <c r="T137" s="285"/>
      <c r="U137" s="285"/>
      <c r="V137" s="285"/>
      <c r="W137" s="285"/>
      <c r="X137" s="285"/>
      <c r="Y137" s="285"/>
      <c r="Z137" s="269"/>
      <c r="AA137" s="269"/>
    </row>
    <row r="138" spans="4:27" x14ac:dyDescent="0.25">
      <c r="E138" t="s">
        <v>191</v>
      </c>
      <c r="G138" t="s">
        <v>269</v>
      </c>
      <c r="H138" s="269"/>
      <c r="I138" s="269"/>
      <c r="J138" s="284">
        <f>'Initial unit rates'!J136</f>
        <v>0</v>
      </c>
      <c r="K138" s="284">
        <f>'Initial unit rates'!K136</f>
        <v>0</v>
      </c>
      <c r="L138" s="284">
        <f>'Initial unit rates'!L136</f>
        <v>0</v>
      </c>
      <c r="M138" s="284">
        <f>'Initial unit rates'!M136</f>
        <v>0</v>
      </c>
      <c r="N138" s="284">
        <f>'Initial unit rates'!N136</f>
        <v>0</v>
      </c>
      <c r="O138" s="284">
        <f>'Initial unit rates'!O136</f>
        <v>0</v>
      </c>
      <c r="P138" s="284">
        <f>'Initial unit rates'!P136</f>
        <v>0</v>
      </c>
      <c r="Q138" s="284">
        <f>'Initial unit rates'!Q136</f>
        <v>0</v>
      </c>
      <c r="R138" s="270"/>
      <c r="S138" s="270"/>
      <c r="T138" s="270"/>
      <c r="U138" s="270"/>
      <c r="V138" s="270"/>
      <c r="W138" s="270"/>
      <c r="X138" s="270"/>
      <c r="Y138" s="270"/>
      <c r="Z138" s="269"/>
      <c r="AA138" s="269"/>
    </row>
    <row r="139" spans="4:27" x14ac:dyDescent="0.25">
      <c r="E139" t="s">
        <v>192</v>
      </c>
      <c r="G139" t="s">
        <v>269</v>
      </c>
      <c r="H139" s="269"/>
      <c r="I139" s="269"/>
      <c r="J139" s="284">
        <f>'Initial unit rates'!J137</f>
        <v>8.6546493490595108E-2</v>
      </c>
      <c r="K139" s="284">
        <f>'Initial unit rates'!K137</f>
        <v>0</v>
      </c>
      <c r="L139" s="284">
        <f>'Initial unit rates'!L137</f>
        <v>6.8828302968830107E-2</v>
      </c>
      <c r="M139" s="284">
        <f>'Initial unit rates'!M137</f>
        <v>0</v>
      </c>
      <c r="N139" s="284">
        <f>'Initial unit rates'!N137</f>
        <v>5.7427214372943777E-2</v>
      </c>
      <c r="O139" s="284">
        <f>'Initial unit rates'!O137</f>
        <v>5.5830808435271891E-2</v>
      </c>
      <c r="P139" s="284">
        <f>'Initial unit rates'!P137</f>
        <v>4.4256077528517457E-2</v>
      </c>
      <c r="Q139" s="284">
        <f>'Initial unit rates'!Q137</f>
        <v>7.8979753232828159E-2</v>
      </c>
      <c r="R139" s="270"/>
      <c r="S139" s="270"/>
      <c r="T139" s="270"/>
      <c r="U139" s="270"/>
      <c r="V139" s="270"/>
      <c r="W139" s="270"/>
      <c r="X139" s="270"/>
      <c r="Y139" s="270"/>
      <c r="Z139" s="269"/>
      <c r="AA139" s="269"/>
    </row>
    <row r="140" spans="4:27" x14ac:dyDescent="0.25">
      <c r="E140" t="s">
        <v>193</v>
      </c>
      <c r="G140" t="s">
        <v>269</v>
      </c>
      <c r="H140" s="269"/>
      <c r="I140" s="269"/>
      <c r="J140" s="284">
        <f>'Initial unit rates'!J138</f>
        <v>4.5219735286220634E-2</v>
      </c>
      <c r="K140" s="284">
        <f>'Initial unit rates'!K138</f>
        <v>0</v>
      </c>
      <c r="L140" s="284">
        <f>'Initial unit rates'!L138</f>
        <v>3.5962146066478254E-2</v>
      </c>
      <c r="M140" s="284">
        <f>'Initial unit rates'!M138</f>
        <v>0</v>
      </c>
      <c r="N140" s="284">
        <f>'Initial unit rates'!N138</f>
        <v>3.000518365832763E-2</v>
      </c>
      <c r="O140" s="284">
        <f>'Initial unit rates'!O138</f>
        <v>2.9171076451907786E-2</v>
      </c>
      <c r="P140" s="284">
        <f>'Initial unit rates'!P138</f>
        <v>2.3123387556579521E-2</v>
      </c>
      <c r="Q140" s="284">
        <f>'Initial unit rates'!Q138</f>
        <v>4.126618410655334E-2</v>
      </c>
      <c r="R140" s="270"/>
      <c r="S140" s="270"/>
      <c r="T140" s="270"/>
      <c r="U140" s="270"/>
      <c r="V140" s="270"/>
      <c r="W140" s="270"/>
      <c r="X140" s="270"/>
      <c r="Y140" s="270"/>
      <c r="Z140" s="269"/>
      <c r="AA140" s="269"/>
    </row>
    <row r="141" spans="4:27" x14ac:dyDescent="0.25">
      <c r="E141" t="s">
        <v>194</v>
      </c>
      <c r="G141" t="s">
        <v>269</v>
      </c>
      <c r="H141" s="269"/>
      <c r="I141" s="269"/>
      <c r="J141" s="284">
        <f>'Initial unit rates'!J139</f>
        <v>5.5862860402072577E-2</v>
      </c>
      <c r="K141" s="284">
        <f>'Initial unit rates'!K139</f>
        <v>0</v>
      </c>
      <c r="L141" s="284">
        <f>'Initial unit rates'!L139</f>
        <v>4.4426362356057077E-2</v>
      </c>
      <c r="M141" s="284">
        <f>'Initial unit rates'!M139</f>
        <v>0</v>
      </c>
      <c r="N141" s="284">
        <f>'Initial unit rates'!N139</f>
        <v>3.7067341846082631E-2</v>
      </c>
      <c r="O141" s="284">
        <f>'Initial unit rates'!O139</f>
        <v>3.6036915326828033E-2</v>
      </c>
      <c r="P141" s="284">
        <f>'Initial unit rates'!P139</f>
        <v>2.8565814525894458E-2</v>
      </c>
      <c r="Q141" s="284">
        <f>'Initial unit rates'!Q139</f>
        <v>5.0978783212228811E-2</v>
      </c>
      <c r="R141" s="270"/>
      <c r="S141" s="270"/>
      <c r="T141" s="270"/>
      <c r="U141" s="270"/>
      <c r="V141" s="270"/>
      <c r="W141" s="270"/>
      <c r="X141" s="270"/>
      <c r="Y141" s="270"/>
      <c r="Z141" s="269"/>
      <c r="AA141" s="269"/>
    </row>
    <row r="142" spans="4:27" x14ac:dyDescent="0.25">
      <c r="E142" t="s">
        <v>195</v>
      </c>
      <c r="G142" t="s">
        <v>269</v>
      </c>
      <c r="H142" s="269"/>
      <c r="I142" s="269"/>
      <c r="J142" s="284">
        <f>'Initial unit rates'!J140</f>
        <v>8.986738704213916E-2</v>
      </c>
      <c r="K142" s="284">
        <f>'Initial unit rates'!K140</f>
        <v>0</v>
      </c>
      <c r="L142" s="284">
        <f>'Initial unit rates'!L140</f>
        <v>7.1469328136623253E-2</v>
      </c>
      <c r="M142" s="284">
        <f>'Initial unit rates'!M140</f>
        <v>0</v>
      </c>
      <c r="N142" s="284">
        <f>'Initial unit rates'!N140</f>
        <v>5.9630765992455335E-2</v>
      </c>
      <c r="O142" s="284">
        <f>'Initial unit rates'!O140</f>
        <v>5.7973104029608508E-2</v>
      </c>
      <c r="P142" s="284">
        <f>'Initial unit rates'!P140</f>
        <v>4.5954236709247968E-2</v>
      </c>
      <c r="Q142" s="284">
        <f>'Initial unit rates'!Q140</f>
        <v>8.2010301815850103E-2</v>
      </c>
      <c r="R142" s="270"/>
      <c r="S142" s="270"/>
      <c r="T142" s="270"/>
      <c r="U142" s="270"/>
      <c r="V142" s="270"/>
      <c r="W142" s="270"/>
      <c r="X142" s="270"/>
      <c r="Y142" s="270"/>
      <c r="Z142" s="269"/>
      <c r="AA142" s="269"/>
    </row>
    <row r="143" spans="4:27" x14ac:dyDescent="0.25">
      <c r="E143" t="s">
        <v>196</v>
      </c>
      <c r="G143" t="s">
        <v>269</v>
      </c>
      <c r="H143" s="269"/>
      <c r="I143" s="269"/>
      <c r="J143" s="284">
        <f>'Initial unit rates'!J141</f>
        <v>7.5674638607431078E-3</v>
      </c>
      <c r="K143" s="284">
        <f>'Initial unit rates'!K141</f>
        <v>0</v>
      </c>
      <c r="L143" s="284">
        <f>'Initial unit rates'!L141</f>
        <v>6.0182183506891588E-3</v>
      </c>
      <c r="M143" s="284">
        <f>'Initial unit rates'!M141</f>
        <v>0</v>
      </c>
      <c r="N143" s="284">
        <f>'Initial unit rates'!N141</f>
        <v>5.0213284428169734E-3</v>
      </c>
      <c r="O143" s="284">
        <f>'Initial unit rates'!O141</f>
        <v>4.8817416871534333E-3</v>
      </c>
      <c r="P143" s="284">
        <f>'Initial unit rates'!P141</f>
        <v>3.8696688197043458E-3</v>
      </c>
      <c r="Q143" s="284">
        <f>'Initial unit rates'!Q141</f>
        <v>6.9058422151416733E-3</v>
      </c>
      <c r="R143" s="270"/>
      <c r="S143" s="270"/>
      <c r="T143" s="270"/>
      <c r="U143" s="270"/>
      <c r="V143" s="270"/>
      <c r="W143" s="270"/>
      <c r="X143" s="270"/>
      <c r="Y143" s="270"/>
      <c r="Z143" s="269"/>
      <c r="AA143" s="269"/>
    </row>
    <row r="144" spans="4:27" x14ac:dyDescent="0.25">
      <c r="E144" t="s">
        <v>197</v>
      </c>
      <c r="G144" t="s">
        <v>269</v>
      </c>
      <c r="H144" s="269"/>
      <c r="I144" s="269"/>
      <c r="J144" s="284">
        <f>'Initial unit rates'!J142</f>
        <v>0.20703907355850779</v>
      </c>
      <c r="K144" s="284">
        <f>'Initial unit rates'!K142</f>
        <v>0</v>
      </c>
      <c r="L144" s="284">
        <f>'Initial unit rates'!L142</f>
        <v>0.16465309577007206</v>
      </c>
      <c r="M144" s="284">
        <f>'Initial unit rates'!M142</f>
        <v>0</v>
      </c>
      <c r="N144" s="284">
        <f>'Initial unit rates'!N142</f>
        <v>0.13737907546898057</v>
      </c>
      <c r="O144" s="284">
        <f>'Initial unit rates'!O142</f>
        <v>0.13356010611472469</v>
      </c>
      <c r="P144" s="284">
        <f>'Initial unit rates'!P142</f>
        <v>0.10587069355771707</v>
      </c>
      <c r="Q144" s="284">
        <f>'Initial unit rates'!Q142</f>
        <v>0.18893769440793395</v>
      </c>
      <c r="R144" s="270"/>
      <c r="S144" s="270"/>
      <c r="T144" s="270"/>
      <c r="U144" s="270"/>
      <c r="V144" s="270"/>
      <c r="W144" s="270"/>
      <c r="X144" s="270"/>
      <c r="Y144" s="270"/>
      <c r="Z144" s="269"/>
      <c r="AA144" s="269"/>
    </row>
    <row r="145" spans="2:27" x14ac:dyDescent="0.25">
      <c r="E145" t="s">
        <v>198</v>
      </c>
      <c r="G145" t="s">
        <v>269</v>
      </c>
      <c r="H145" s="269"/>
      <c r="I145" s="269"/>
      <c r="J145" s="284">
        <f>'Initial unit rates'!J143</f>
        <v>9.4772579308131405E-2</v>
      </c>
      <c r="K145" s="284">
        <f>'Initial unit rates'!K143</f>
        <v>0</v>
      </c>
      <c r="L145" s="284">
        <f>'Initial unit rates'!L143</f>
        <v>7.5370307203334541E-2</v>
      </c>
      <c r="M145" s="284">
        <f>'Initial unit rates'!M143</f>
        <v>0</v>
      </c>
      <c r="N145" s="284">
        <f>'Initial unit rates'!N143</f>
        <v>6.2885566001542395E-2</v>
      </c>
      <c r="O145" s="284">
        <f>'Initial unit rates'!O143</f>
        <v>6.1137424601077434E-2</v>
      </c>
      <c r="P145" s="284">
        <f>'Initial unit rates'!P143</f>
        <v>0</v>
      </c>
      <c r="Q145" s="284">
        <f>'Initial unit rates'!Q143</f>
        <v>8.6486634236755677E-2</v>
      </c>
      <c r="R145" s="270"/>
      <c r="S145" s="270"/>
      <c r="T145" s="270"/>
      <c r="U145" s="270"/>
      <c r="V145" s="270"/>
      <c r="W145" s="270"/>
      <c r="X145" s="270"/>
      <c r="Y145" s="270"/>
      <c r="Z145" s="269"/>
      <c r="AA145" s="269"/>
    </row>
    <row r="146" spans="2:27" x14ac:dyDescent="0.25">
      <c r="E146" t="s">
        <v>199</v>
      </c>
      <c r="G146" t="s">
        <v>269</v>
      </c>
      <c r="H146" s="269"/>
      <c r="I146" s="269"/>
      <c r="J146" s="284">
        <f>'Initial unit rates'!J144</f>
        <v>0.18890132976047708</v>
      </c>
      <c r="K146" s="284">
        <f>'Initial unit rates'!K144</f>
        <v>0</v>
      </c>
      <c r="L146" s="284">
        <f>'Initial unit rates'!L144</f>
        <v>0.15022859311315578</v>
      </c>
      <c r="M146" s="284">
        <f>'Initial unit rates'!M144</f>
        <v>0</v>
      </c>
      <c r="N146" s="284">
        <f>'Initial unit rates'!N144</f>
        <v>0.12534392465788238</v>
      </c>
      <c r="O146" s="284">
        <f>'Initial unit rates'!O144</f>
        <v>0</v>
      </c>
      <c r="P146" s="284">
        <f>'Initial unit rates'!P144</f>
        <v>0</v>
      </c>
      <c r="Q146" s="284">
        <f>'Initial unit rates'!Q144</f>
        <v>0.17238572942827368</v>
      </c>
      <c r="R146" s="270"/>
      <c r="S146" s="270"/>
      <c r="T146" s="270"/>
      <c r="U146" s="270"/>
      <c r="V146" s="270"/>
      <c r="W146" s="270"/>
      <c r="X146" s="270"/>
      <c r="Y146" s="270"/>
      <c r="Z146" s="269"/>
      <c r="AA146" s="269"/>
    </row>
    <row r="147" spans="2:27" x14ac:dyDescent="0.25">
      <c r="E147" t="s">
        <v>376</v>
      </c>
      <c r="G147" t="s">
        <v>269</v>
      </c>
      <c r="H147" s="269"/>
      <c r="I147" s="269"/>
      <c r="J147" s="270"/>
      <c r="K147" s="270"/>
      <c r="L147" s="270"/>
      <c r="M147" s="270"/>
      <c r="N147" s="270"/>
      <c r="O147" s="270"/>
      <c r="P147" s="270"/>
      <c r="Q147" s="270"/>
      <c r="R147" s="270"/>
      <c r="S147" s="270"/>
      <c r="T147" s="270"/>
      <c r="U147" s="270"/>
      <c r="V147" s="270"/>
      <c r="W147" s="270"/>
      <c r="X147" s="270"/>
      <c r="Y147" s="270"/>
      <c r="Z147" s="269"/>
      <c r="AA147" s="269"/>
    </row>
    <row r="148" spans="2:27" x14ac:dyDescent="0.25">
      <c r="E148" s="37" t="s">
        <v>377</v>
      </c>
      <c r="F148" s="37"/>
      <c r="G148" s="37" t="s">
        <v>269</v>
      </c>
      <c r="H148" s="273"/>
      <c r="I148" s="273"/>
      <c r="J148" s="274"/>
      <c r="K148" s="274"/>
      <c r="L148" s="274"/>
      <c r="M148" s="274"/>
      <c r="N148" s="274"/>
      <c r="O148" s="274"/>
      <c r="P148" s="274"/>
      <c r="Q148" s="274"/>
      <c r="R148" s="274"/>
      <c r="S148" s="274"/>
      <c r="T148" s="274"/>
      <c r="U148" s="274"/>
      <c r="V148" s="274"/>
      <c r="W148" s="274"/>
      <c r="X148" s="274"/>
      <c r="Y148" s="274"/>
      <c r="Z148" s="269"/>
      <c r="AA148" s="269"/>
    </row>
    <row r="149" spans="2:27" x14ac:dyDescent="0.25">
      <c r="D149"/>
      <c r="E149"/>
      <c r="J149" s="89"/>
      <c r="K149" s="89"/>
      <c r="L149" s="89"/>
      <c r="M149" s="89"/>
      <c r="N149" s="89"/>
      <c r="O149" s="89"/>
      <c r="P149" s="89"/>
      <c r="Q149" s="89"/>
      <c r="R149" s="89"/>
      <c r="S149" s="89"/>
      <c r="T149" s="89"/>
      <c r="U149" s="89"/>
      <c r="V149" s="89"/>
      <c r="W149" s="89"/>
      <c r="X149" s="89"/>
      <c r="Y149" s="89"/>
    </row>
    <row r="150" spans="2:27" x14ac:dyDescent="0.25">
      <c r="B150" s="30" t="s">
        <v>675</v>
      </c>
      <c r="C150" s="30"/>
      <c r="D150" s="30"/>
      <c r="E150" s="30"/>
      <c r="F150" s="30"/>
      <c r="G150" s="30"/>
      <c r="H150" s="30"/>
      <c r="I150" s="30"/>
      <c r="J150" s="184"/>
      <c r="K150" s="184"/>
      <c r="L150" s="184"/>
      <c r="M150" s="184"/>
      <c r="N150" s="184"/>
      <c r="O150" s="184"/>
      <c r="P150" s="184"/>
      <c r="Q150" s="184"/>
      <c r="R150" s="184"/>
      <c r="S150" s="184"/>
      <c r="T150" s="184"/>
      <c r="U150" s="184"/>
      <c r="V150" s="184"/>
      <c r="W150" s="184"/>
      <c r="X150" s="184"/>
      <c r="Y150" s="184"/>
      <c r="Z150" s="30"/>
      <c r="AA150" s="30"/>
    </row>
    <row r="151" spans="2:27" x14ac:dyDescent="0.25">
      <c r="C151" s="205"/>
      <c r="D151"/>
      <c r="E151"/>
      <c r="J151" s="89"/>
      <c r="K151" s="89"/>
      <c r="L151" s="89"/>
      <c r="M151" s="89"/>
      <c r="N151" s="89"/>
      <c r="O151" s="89"/>
      <c r="P151" s="89"/>
      <c r="Q151" s="89"/>
      <c r="R151" s="89"/>
      <c r="S151" s="89"/>
      <c r="T151" s="89"/>
      <c r="U151" s="89"/>
      <c r="V151" s="89"/>
      <c r="W151" s="89"/>
      <c r="X151" s="89"/>
      <c r="Y151" s="89"/>
    </row>
    <row r="152" spans="2:27" x14ac:dyDescent="0.25">
      <c r="C152" s="29" t="s">
        <v>676</v>
      </c>
      <c r="D152"/>
      <c r="E152"/>
      <c r="J152" s="89"/>
      <c r="K152" s="89"/>
      <c r="L152" s="89"/>
      <c r="M152" s="89"/>
      <c r="N152" s="89"/>
      <c r="O152" s="89"/>
      <c r="P152" s="89"/>
      <c r="Q152" s="89"/>
      <c r="R152" s="89"/>
      <c r="S152" s="89"/>
      <c r="T152" s="89"/>
      <c r="U152" s="89"/>
      <c r="V152" s="89"/>
      <c r="W152" s="89"/>
      <c r="X152" s="89"/>
      <c r="Y152" s="89"/>
    </row>
    <row r="153" spans="2:27" x14ac:dyDescent="0.25">
      <c r="C153" s="29" t="s">
        <v>677</v>
      </c>
      <c r="D153"/>
      <c r="E153"/>
      <c r="J153" s="89"/>
      <c r="K153" s="89"/>
      <c r="L153" s="89"/>
      <c r="M153" s="89"/>
      <c r="N153" s="89"/>
      <c r="O153" s="89"/>
      <c r="P153" s="89"/>
      <c r="Q153" s="89"/>
      <c r="R153" s="89"/>
      <c r="S153" s="89"/>
      <c r="T153" s="89"/>
      <c r="U153" s="89"/>
      <c r="V153" s="89"/>
      <c r="W153" s="89"/>
      <c r="X153" s="89"/>
      <c r="Y153" s="89"/>
    </row>
    <row r="154" spans="2:27" x14ac:dyDescent="0.25">
      <c r="C154" s="205"/>
      <c r="D154"/>
      <c r="E154"/>
      <c r="J154" s="89"/>
      <c r="K154" s="89"/>
      <c r="L154" s="89"/>
      <c r="M154" s="89"/>
      <c r="N154" s="89"/>
      <c r="O154" s="89"/>
      <c r="P154" s="89"/>
      <c r="Q154" s="89"/>
      <c r="R154" s="89"/>
      <c r="S154" s="89"/>
      <c r="T154" s="89"/>
      <c r="U154" s="89"/>
      <c r="V154" s="89"/>
      <c r="W154" s="89"/>
      <c r="X154" s="89"/>
      <c r="Y154" s="89"/>
    </row>
    <row r="155" spans="2:27" x14ac:dyDescent="0.25">
      <c r="C155" s="31" t="str">
        <f ca="1">INDEX('Version control'!$H$34:$H$57,MATCH($A$1,'Version control'!$F$34:$F$57,0),1)&amp;"-C: Yardstick charge used for generation"</f>
        <v>Section 112-C: Yardstick charge used for generation</v>
      </c>
      <c r="D155" s="31"/>
      <c r="E155" s="31"/>
      <c r="F155" s="31"/>
      <c r="G155" s="31"/>
      <c r="H155" s="31"/>
      <c r="I155" s="31"/>
      <c r="J155" s="90"/>
      <c r="K155" s="90"/>
      <c r="L155" s="90"/>
      <c r="M155" s="90"/>
      <c r="N155" s="90"/>
      <c r="O155" s="90"/>
      <c r="P155" s="90"/>
      <c r="Q155" s="90"/>
      <c r="R155" s="90"/>
      <c r="S155" s="90"/>
      <c r="T155" s="90"/>
      <c r="U155" s="90"/>
      <c r="V155" s="90"/>
      <c r="W155" s="90"/>
      <c r="X155" s="90"/>
      <c r="Y155" s="90"/>
      <c r="Z155" s="31"/>
      <c r="AA155" s="31"/>
    </row>
    <row r="156" spans="2:27" x14ac:dyDescent="0.25">
      <c r="D156" s="32"/>
      <c r="E156" s="32"/>
      <c r="I156" t="s">
        <v>154</v>
      </c>
      <c r="J156" s="89"/>
      <c r="K156" s="89"/>
      <c r="L156" s="89"/>
      <c r="M156" s="89"/>
      <c r="N156" s="89"/>
      <c r="O156" s="89"/>
      <c r="P156" s="89"/>
      <c r="Q156" s="89"/>
      <c r="R156" s="89"/>
      <c r="S156" s="89"/>
      <c r="T156" s="89"/>
      <c r="U156" s="89"/>
      <c r="V156" s="89"/>
      <c r="W156" s="89"/>
      <c r="X156" s="89"/>
      <c r="Y156" s="89"/>
      <c r="AA156" t="s">
        <v>678</v>
      </c>
    </row>
    <row r="157" spans="2:27" x14ac:dyDescent="0.25">
      <c r="D157"/>
      <c r="E157" s="32" t="s">
        <v>621</v>
      </c>
      <c r="J157" s="89"/>
      <c r="K157" s="89"/>
      <c r="L157" s="89"/>
      <c r="M157" s="89"/>
      <c r="N157" s="89"/>
      <c r="O157" s="89"/>
      <c r="P157" s="89"/>
      <c r="Q157" s="89"/>
      <c r="R157" s="89"/>
      <c r="S157" s="89"/>
      <c r="T157" s="89"/>
      <c r="U157" s="89"/>
      <c r="V157" s="89"/>
      <c r="W157" s="89"/>
      <c r="X157" s="89"/>
      <c r="Y157" s="89"/>
    </row>
    <row r="158" spans="2:27" x14ac:dyDescent="0.25">
      <c r="D158"/>
      <c r="F158" s="23" t="s">
        <v>189</v>
      </c>
      <c r="G158" s="23" t="s">
        <v>269</v>
      </c>
      <c r="H158" s="267"/>
      <c r="I158" s="267"/>
      <c r="J158" s="285"/>
      <c r="K158" s="285"/>
      <c r="L158" s="285"/>
      <c r="M158" s="285"/>
      <c r="N158" s="285"/>
      <c r="O158" s="285"/>
      <c r="P158" s="285"/>
      <c r="Q158" s="285"/>
      <c r="R158" s="285"/>
      <c r="S158" s="285"/>
      <c r="T158" s="285"/>
      <c r="U158" s="285"/>
      <c r="V158" s="285"/>
      <c r="W158" s="285"/>
      <c r="X158" s="285"/>
      <c r="Y158" s="285"/>
      <c r="Z158" s="269"/>
      <c r="AA158" s="269"/>
    </row>
    <row r="159" spans="2:27" x14ac:dyDescent="0.25">
      <c r="D159"/>
      <c r="F159" t="s">
        <v>191</v>
      </c>
      <c r="G159" t="s">
        <v>269</v>
      </c>
      <c r="H159" s="269"/>
      <c r="I159" s="269"/>
      <c r="J159" s="270"/>
      <c r="K159" s="270"/>
      <c r="L159" s="270"/>
      <c r="M159" s="270"/>
      <c r="N159" s="270"/>
      <c r="O159" s="270"/>
      <c r="P159" s="270"/>
      <c r="Q159" s="270"/>
      <c r="R159" s="270"/>
      <c r="S159" s="270"/>
      <c r="T159" s="270"/>
      <c r="U159" s="270"/>
      <c r="V159" s="270"/>
      <c r="W159" s="270"/>
      <c r="X159" s="270"/>
      <c r="Y159" s="270"/>
      <c r="Z159" s="269"/>
      <c r="AA159" s="269"/>
    </row>
    <row r="160" spans="2:27" x14ac:dyDescent="0.25">
      <c r="D160"/>
      <c r="F160" t="s">
        <v>192</v>
      </c>
      <c r="G160" t="s">
        <v>269</v>
      </c>
      <c r="H160" s="269"/>
      <c r="I160" s="269"/>
      <c r="J160" s="270"/>
      <c r="K160" s="270"/>
      <c r="L160" s="270"/>
      <c r="M160" s="270"/>
      <c r="N160" s="270"/>
      <c r="O160" s="270"/>
      <c r="P160" s="270"/>
      <c r="Q160" s="270"/>
      <c r="R160" s="287">
        <f t="shared" ref="R160:S160" si="0">hundred * $H51 * R95 / $H37 * (1 - R109) / hours_in_year</f>
        <v>-6.5115917647158614E-2</v>
      </c>
      <c r="S160" s="287">
        <f t="shared" si="0"/>
        <v>-6.3243381981980581E-2</v>
      </c>
      <c r="T160" s="287">
        <f t="shared" ref="T160:U160" si="1">hundred * $H51 * T95 / $H37 * (1 - T109) / hours_in_year</f>
        <v>-6.5115917647158614E-2</v>
      </c>
      <c r="U160" s="287">
        <f t="shared" si="1"/>
        <v>-6.5115917647158614E-2</v>
      </c>
      <c r="V160" s="287">
        <f t="shared" ref="V160:W160" si="2">hundred * $H51 * V95 / $H37 * (1 - V109) / hours_in_year</f>
        <v>-6.3243381981980581E-2</v>
      </c>
      <c r="W160" s="287">
        <f t="shared" si="2"/>
        <v>-6.3243381981980581E-2</v>
      </c>
      <c r="X160" s="287">
        <f t="shared" ref="X160:Y160" si="3">hundred * $H51 * X95 / $H37 * (1 - X109) / hours_in_year</f>
        <v>-6.257893384272388E-2</v>
      </c>
      <c r="Y160" s="287">
        <f t="shared" si="3"/>
        <v>-6.257893384272388E-2</v>
      </c>
      <c r="Z160" s="269"/>
      <c r="AA160" s="269"/>
    </row>
    <row r="161" spans="5:27" customFormat="1" x14ac:dyDescent="0.25">
      <c r="E161" s="2"/>
      <c r="F161" t="s">
        <v>193</v>
      </c>
      <c r="G161" t="s">
        <v>269</v>
      </c>
      <c r="H161" s="269"/>
      <c r="I161" s="269"/>
      <c r="J161" s="270"/>
      <c r="K161" s="270"/>
      <c r="L161" s="270"/>
      <c r="M161" s="270"/>
      <c r="N161" s="270"/>
      <c r="O161" s="270"/>
      <c r="P161" s="270"/>
      <c r="Q161" s="270"/>
      <c r="R161" s="287">
        <f t="shared" ref="R161:S161" si="4">hundred * $H52 * R96 / $H38 * (1 - R110) / hours_in_year</f>
        <v>-3.4022459376055886E-2</v>
      </c>
      <c r="S161" s="287">
        <f t="shared" si="4"/>
        <v>-3.3044076963571895E-2</v>
      </c>
      <c r="T161" s="287">
        <f t="shared" ref="T161:U161" si="5">hundred * $H52 * T96 / $H38 * (1 - T110) / hours_in_year</f>
        <v>-3.4022459376055886E-2</v>
      </c>
      <c r="U161" s="287">
        <f t="shared" si="5"/>
        <v>-3.4022459376055886E-2</v>
      </c>
      <c r="V161" s="287">
        <f t="shared" ref="V161:W161" si="6">hundred * $H52 * V96 / $H38 * (1 - V110) / hours_in_year</f>
        <v>-3.3044076963571895E-2</v>
      </c>
      <c r="W161" s="287">
        <f t="shared" si="6"/>
        <v>-3.3044076963571895E-2</v>
      </c>
      <c r="X161" s="287">
        <f t="shared" ref="X161:Y161" si="7">hundred * $H52 * X96 / $H38 * (1 - X110) / hours_in_year</f>
        <v>-3.2696909010755004E-2</v>
      </c>
      <c r="Y161" s="287">
        <f t="shared" si="7"/>
        <v>-3.2696909010755004E-2</v>
      </c>
      <c r="Z161" s="269"/>
      <c r="AA161" s="269"/>
    </row>
    <row r="162" spans="5:27" customFormat="1" x14ac:dyDescent="0.25">
      <c r="E162" s="2"/>
      <c r="F162" t="s">
        <v>194</v>
      </c>
      <c r="G162" t="s">
        <v>269</v>
      </c>
      <c r="H162" s="269"/>
      <c r="I162" s="269"/>
      <c r="J162" s="270"/>
      <c r="K162" s="270"/>
      <c r="L162" s="270"/>
      <c r="M162" s="270"/>
      <c r="N162" s="270"/>
      <c r="O162" s="270"/>
      <c r="P162" s="270"/>
      <c r="Q162" s="270"/>
      <c r="R162" s="287">
        <f t="shared" ref="R162:S162" si="8">hundred * $H53 * R97 / $H39 * (1 - R111) / hours_in_year</f>
        <v>-4.2030142074691516E-2</v>
      </c>
      <c r="S162" s="287">
        <f t="shared" si="8"/>
        <v>-4.0821483072543609E-2</v>
      </c>
      <c r="T162" s="287">
        <f t="shared" ref="T162:U162" si="9">hundred * $H53 * T97 / $H39 * (1 - T111) / hours_in_year</f>
        <v>-4.2030142074691516E-2</v>
      </c>
      <c r="U162" s="287">
        <f t="shared" si="9"/>
        <v>-4.2030142074691516E-2</v>
      </c>
      <c r="V162" s="287">
        <f t="shared" ref="V162:W162" si="10">hundred * $H53 * V97 / $H39 * (1 - V111) / hours_in_year</f>
        <v>-4.0821483072543609E-2</v>
      </c>
      <c r="W162" s="287">
        <f t="shared" si="10"/>
        <v>-4.0821483072543609E-2</v>
      </c>
      <c r="X162" s="287">
        <f t="shared" ref="X162:Y162" si="11">hundred * $H53 * X97 / $H39 * (1 - X111) / hours_in_year</f>
        <v>-3.7750117911434879E-2</v>
      </c>
      <c r="Y162" s="287">
        <f t="shared" si="11"/>
        <v>-3.7750117911434879E-2</v>
      </c>
      <c r="Z162" s="269"/>
      <c r="AA162" s="269"/>
    </row>
    <row r="163" spans="5:27" customFormat="1" x14ac:dyDescent="0.25">
      <c r="E163" s="2"/>
      <c r="F163" t="s">
        <v>195</v>
      </c>
      <c r="G163" t="s">
        <v>269</v>
      </c>
      <c r="H163" s="269"/>
      <c r="I163" s="269"/>
      <c r="J163" s="270"/>
      <c r="K163" s="270"/>
      <c r="L163" s="270"/>
      <c r="M163" s="270"/>
      <c r="N163" s="270"/>
      <c r="O163" s="270"/>
      <c r="P163" s="270"/>
      <c r="Q163" s="270"/>
      <c r="R163" s="287">
        <f t="shared" ref="R163:S163" si="12">hundred * $H54 * R98 / $H40 * (1 - R112) / hours_in_year</f>
        <v>-6.7614494103532582E-2</v>
      </c>
      <c r="S163" s="287">
        <f t="shared" si="12"/>
        <v>-6.5670106981816884E-2</v>
      </c>
      <c r="T163" s="287">
        <f t="shared" ref="T163:U163" si="13">hundred * $H54 * T98 / $H40 * (1 - T112) / hours_in_year</f>
        <v>-6.7614494103532582E-2</v>
      </c>
      <c r="U163" s="287">
        <f t="shared" si="13"/>
        <v>-6.7614494103532582E-2</v>
      </c>
      <c r="V163" s="287">
        <f t="shared" ref="V163:W163" si="14">hundred * $H54 * V98 / $H40 * (1 - V112) / hours_in_year</f>
        <v>-6.5670106981816884E-2</v>
      </c>
      <c r="W163" s="287">
        <f t="shared" si="14"/>
        <v>-6.5670106981816884E-2</v>
      </c>
      <c r="X163" s="287">
        <f t="shared" ref="X163:Y163" si="15">hundred * $H54 * X98 / $H40 * (1 - X112) / hours_in_year</f>
        <v>-4.2131212896438029E-2</v>
      </c>
      <c r="Y163" s="287">
        <f t="shared" si="15"/>
        <v>-4.2131212896438029E-2</v>
      </c>
      <c r="Z163" s="269"/>
      <c r="AA163" s="269"/>
    </row>
    <row r="164" spans="5:27" customFormat="1" x14ac:dyDescent="0.25">
      <c r="E164" s="2"/>
      <c r="F164" t="s">
        <v>196</v>
      </c>
      <c r="G164" t="s">
        <v>269</v>
      </c>
      <c r="H164" s="269"/>
      <c r="I164" s="269"/>
      <c r="J164" s="270"/>
      <c r="K164" s="270"/>
      <c r="L164" s="270"/>
      <c r="M164" s="270"/>
      <c r="N164" s="270"/>
      <c r="O164" s="270"/>
      <c r="P164" s="270"/>
      <c r="Q164" s="270"/>
      <c r="R164" s="287">
        <f t="shared" ref="R164:S164" si="16">hundred * $H55 * R99 / $H41 * (1 - R113) / hours_in_year</f>
        <v>-5.693614306945264E-3</v>
      </c>
      <c r="S164" s="287">
        <f t="shared" si="16"/>
        <v>-5.5298832832761501E-3</v>
      </c>
      <c r="T164" s="287">
        <f t="shared" ref="T164:U164" si="17">hundred * $H55 * T99 / $H41 * (1 - T113) / hours_in_year</f>
        <v>-5.693614306945264E-3</v>
      </c>
      <c r="U164" s="287">
        <f t="shared" si="17"/>
        <v>-5.693614306945264E-3</v>
      </c>
      <c r="V164" s="287">
        <f t="shared" ref="V164:W164" si="18">hundred * $H55 * V99 / $H41 * (1 - V113) / hours_in_year</f>
        <v>-5.5298832832761501E-3</v>
      </c>
      <c r="W164" s="287">
        <f t="shared" si="18"/>
        <v>-5.5298832832761501E-3</v>
      </c>
      <c r="X164" s="287">
        <f t="shared" ref="X164:Y164" si="19">hundred * $H55 * X99 / $H41 * (1 - X113) / hours_in_year</f>
        <v>-3.5477434194628346E-3</v>
      </c>
      <c r="Y164" s="287">
        <f t="shared" si="19"/>
        <v>-3.5477434194628346E-3</v>
      </c>
      <c r="Z164" s="269"/>
      <c r="AA164" s="269"/>
    </row>
    <row r="165" spans="5:27" customFormat="1" x14ac:dyDescent="0.25">
      <c r="E165" s="2"/>
      <c r="F165" t="s">
        <v>197</v>
      </c>
      <c r="G165" t="s">
        <v>269</v>
      </c>
      <c r="H165" s="269"/>
      <c r="I165" s="269"/>
      <c r="J165" s="270"/>
      <c r="K165" s="270"/>
      <c r="L165" s="270"/>
      <c r="M165" s="270"/>
      <c r="N165" s="270"/>
      <c r="O165" s="270"/>
      <c r="P165" s="270"/>
      <c r="Q165" s="270"/>
      <c r="R165" s="287">
        <f t="shared" ref="R165:S165" si="20">hundred * $H56 * R100 / $H42 * (1 - R114) / hours_in_year</f>
        <v>-8.113652710626372E-2</v>
      </c>
      <c r="S165" s="287">
        <f t="shared" si="20"/>
        <v>-7.880328745849545E-2</v>
      </c>
      <c r="T165" s="287">
        <f t="shared" ref="T165:U165" si="21">hundred * $H56 * T100 / $H42 * (1 - T114) / hours_in_year</f>
        <v>-8.113652710626372E-2</v>
      </c>
      <c r="U165" s="287">
        <f t="shared" si="21"/>
        <v>-8.113652710626372E-2</v>
      </c>
      <c r="V165" s="287">
        <f t="shared" ref="V165:W165" si="22">hundred * $H56 * V100 / $H42 * (1 - V114) / hours_in_year</f>
        <v>-7.880328745849545E-2</v>
      </c>
      <c r="W165" s="287">
        <f t="shared" si="22"/>
        <v>-7.880328745849545E-2</v>
      </c>
      <c r="X165" s="287">
        <f t="shared" ref="X165:Y165" si="23">hundred * $H56 * X100 / $H42 * (1 - X114) / hours_in_year</f>
        <v>-5.4216620627444458E-2</v>
      </c>
      <c r="Y165" s="287">
        <f t="shared" si="23"/>
        <v>-5.4216620627444458E-2</v>
      </c>
      <c r="Z165" s="269"/>
      <c r="AA165" s="269"/>
    </row>
    <row r="166" spans="5:27" customFormat="1" x14ac:dyDescent="0.25">
      <c r="E166" s="2"/>
      <c r="F166" t="s">
        <v>198</v>
      </c>
      <c r="G166" t="s">
        <v>269</v>
      </c>
      <c r="H166" s="269"/>
      <c r="I166" s="269"/>
      <c r="J166" s="270"/>
      <c r="K166" s="270"/>
      <c r="L166" s="270"/>
      <c r="M166" s="270"/>
      <c r="N166" s="270"/>
      <c r="O166" s="270"/>
      <c r="P166" s="270"/>
      <c r="Q166" s="270"/>
      <c r="R166" s="287">
        <f t="shared" ref="R166:S166" si="24">hundred * $H57 * R101 / $H43 * (1 - R115) / hours_in_year</f>
        <v>-2.075520452841292E-2</v>
      </c>
      <c r="S166" s="287">
        <f t="shared" si="24"/>
        <v>-2.015834799744743E-2</v>
      </c>
      <c r="T166" s="287">
        <f t="shared" ref="T166:U166" si="25">hundred * $H57 * T101 / $H43 * (1 - T115) / hours_in_year</f>
        <v>-2.075520452841292E-2</v>
      </c>
      <c r="U166" s="287">
        <f t="shared" si="25"/>
        <v>-2.075520452841292E-2</v>
      </c>
      <c r="V166" s="287">
        <f t="shared" ref="V166:W166" si="26">hundred * $H57 * V101 / $H43 * (1 - V115) / hours_in_year</f>
        <v>-2.015834799744743E-2</v>
      </c>
      <c r="W166" s="287">
        <f t="shared" si="26"/>
        <v>-2.015834799744743E-2</v>
      </c>
      <c r="X166" s="287">
        <f t="shared" ref="X166:Y166" si="27">hundred * $H57 * X101 / $H43 * (1 - X115) / hours_in_year</f>
        <v>0</v>
      </c>
      <c r="Y166" s="287">
        <f t="shared" si="27"/>
        <v>0</v>
      </c>
      <c r="Z166" s="269"/>
      <c r="AA166" s="269"/>
    </row>
    <row r="167" spans="5:27" customFormat="1" x14ac:dyDescent="0.25">
      <c r="E167" s="2"/>
      <c r="F167" t="s">
        <v>199</v>
      </c>
      <c r="G167" t="s">
        <v>269</v>
      </c>
      <c r="H167" s="269"/>
      <c r="I167" s="269"/>
      <c r="J167" s="270"/>
      <c r="K167" s="270"/>
      <c r="L167" s="270"/>
      <c r="M167" s="270"/>
      <c r="N167" s="270"/>
      <c r="O167" s="270"/>
      <c r="P167" s="270"/>
      <c r="Q167" s="270"/>
      <c r="R167" s="287">
        <f t="shared" ref="R167:S167" si="28">hundred * $H58 * R102 / $H44 * (1 - R116) / hours_in_year</f>
        <v>-8.7102929025140042E-3</v>
      </c>
      <c r="S167" s="287">
        <f t="shared" si="28"/>
        <v>0</v>
      </c>
      <c r="T167" s="287">
        <f t="shared" ref="T167:U167" si="29">hundred * $H58 * T102 / $H44 * (1 - T116) / hours_in_year</f>
        <v>-8.7102929025140042E-3</v>
      </c>
      <c r="U167" s="287">
        <f t="shared" si="29"/>
        <v>-8.7102929025140042E-3</v>
      </c>
      <c r="V167" s="287">
        <f t="shared" ref="V167:W167" si="30">hundred * $H58 * V102 / $H44 * (1 - V116) / hours_in_year</f>
        <v>0</v>
      </c>
      <c r="W167" s="287">
        <f t="shared" si="30"/>
        <v>0</v>
      </c>
      <c r="X167" s="287">
        <f t="shared" ref="X167:Y167" si="31">hundred * $H58 * X102 / $H44 * (1 - X116) / hours_in_year</f>
        <v>0</v>
      </c>
      <c r="Y167" s="287">
        <f t="shared" si="31"/>
        <v>0</v>
      </c>
      <c r="Z167" s="269"/>
      <c r="AA167" s="269"/>
    </row>
    <row r="168" spans="5:27" customFormat="1" x14ac:dyDescent="0.25">
      <c r="E168" s="2"/>
      <c r="F168" t="s">
        <v>376</v>
      </c>
      <c r="G168" t="s">
        <v>269</v>
      </c>
      <c r="H168" s="269"/>
      <c r="I168" s="269"/>
      <c r="J168" s="270"/>
      <c r="K168" s="270"/>
      <c r="L168" s="270"/>
      <c r="M168" s="270"/>
      <c r="N168" s="270"/>
      <c r="O168" s="270"/>
      <c r="P168" s="270"/>
      <c r="Q168" s="270"/>
      <c r="R168" s="270"/>
      <c r="S168" s="270"/>
      <c r="T168" s="270"/>
      <c r="U168" s="270"/>
      <c r="V168" s="270"/>
      <c r="W168" s="270"/>
      <c r="X168" s="270"/>
      <c r="Y168" s="270"/>
      <c r="Z168" s="269"/>
      <c r="AA168" s="269"/>
    </row>
    <row r="169" spans="5:27" customFormat="1" x14ac:dyDescent="0.25">
      <c r="E169" s="2"/>
      <c r="F169" s="37" t="s">
        <v>377</v>
      </c>
      <c r="G169" s="37" t="s">
        <v>269</v>
      </c>
      <c r="H169" s="273"/>
      <c r="I169" s="273"/>
      <c r="J169" s="274"/>
      <c r="K169" s="274"/>
      <c r="L169" s="274"/>
      <c r="M169" s="274"/>
      <c r="N169" s="274"/>
      <c r="O169" s="274"/>
      <c r="P169" s="274"/>
      <c r="Q169" s="274"/>
      <c r="R169" s="274"/>
      <c r="S169" s="274"/>
      <c r="T169" s="274"/>
      <c r="U169" s="274"/>
      <c r="V169" s="274"/>
      <c r="W169" s="274"/>
      <c r="X169" s="274"/>
      <c r="Y169" s="274"/>
      <c r="Z169" s="269"/>
      <c r="AA169" s="269"/>
    </row>
    <row r="170" spans="5:27" customFormat="1" x14ac:dyDescent="0.25">
      <c r="E170" s="2"/>
      <c r="J170" s="89"/>
      <c r="K170" s="89"/>
      <c r="L170" s="89"/>
      <c r="M170" s="89"/>
      <c r="N170" s="89"/>
      <c r="O170" s="89"/>
      <c r="P170" s="89"/>
      <c r="Q170" s="89"/>
      <c r="R170" s="89"/>
      <c r="S170" s="89"/>
      <c r="T170" s="89"/>
      <c r="U170" s="89"/>
      <c r="V170" s="89"/>
      <c r="W170" s="89"/>
      <c r="X170" s="89"/>
      <c r="Y170" s="89"/>
    </row>
    <row r="171" spans="5:27" customFormat="1" x14ac:dyDescent="0.25">
      <c r="E171" s="32" t="s">
        <v>622</v>
      </c>
      <c r="J171" s="89"/>
      <c r="K171" s="89"/>
      <c r="L171" s="89"/>
      <c r="M171" s="89"/>
      <c r="N171" s="89"/>
      <c r="O171" s="89"/>
      <c r="P171" s="89"/>
      <c r="Q171" s="89"/>
      <c r="R171" s="89"/>
      <c r="S171" s="89"/>
      <c r="T171" s="89"/>
      <c r="U171" s="89"/>
      <c r="V171" s="89"/>
      <c r="W171" s="89"/>
      <c r="X171" s="89"/>
      <c r="Y171" s="89"/>
    </row>
    <row r="172" spans="5:27" customFormat="1" x14ac:dyDescent="0.25">
      <c r="E172" s="2"/>
      <c r="F172" s="23" t="s">
        <v>189</v>
      </c>
      <c r="G172" s="23" t="s">
        <v>269</v>
      </c>
      <c r="H172" s="267"/>
      <c r="I172" s="267"/>
      <c r="J172" s="285"/>
      <c r="K172" s="285"/>
      <c r="L172" s="285"/>
      <c r="M172" s="285"/>
      <c r="N172" s="285"/>
      <c r="O172" s="285"/>
      <c r="P172" s="285"/>
      <c r="Q172" s="285"/>
      <c r="R172" s="286">
        <f t="shared" ref="R172:S172" si="32">hundred * $H63 * R93 / $H35 / hours_in_year</f>
        <v>-3.8099775771923639E-2</v>
      </c>
      <c r="S172" s="286">
        <f t="shared" si="32"/>
        <v>-3.7004142145829352E-2</v>
      </c>
      <c r="T172" s="286">
        <f t="shared" ref="T172:U172" si="33">hundred * $H63 * T93 / $H35 / hours_in_year</f>
        <v>-3.8099775771923639E-2</v>
      </c>
      <c r="U172" s="286">
        <f t="shared" si="33"/>
        <v>-3.8099775771923639E-2</v>
      </c>
      <c r="V172" s="286">
        <f t="shared" ref="V172:W172" si="34">hundred * $H63 * V93 / $H35 / hours_in_year</f>
        <v>-3.7004142145829352E-2</v>
      </c>
      <c r="W172" s="286">
        <f t="shared" si="34"/>
        <v>-3.7004142145829352E-2</v>
      </c>
      <c r="X172" s="286">
        <f t="shared" ref="X172:Y172" si="35">hundred * $H63 * X93 / $H35 / hours_in_year</f>
        <v>-3.6615368923666874E-2</v>
      </c>
      <c r="Y172" s="286">
        <f t="shared" si="35"/>
        <v>-3.6615368923666874E-2</v>
      </c>
      <c r="Z172" s="269"/>
      <c r="AA172" s="269"/>
    </row>
    <row r="173" spans="5:27" customFormat="1" x14ac:dyDescent="0.25">
      <c r="E173" s="2"/>
      <c r="F173" t="s">
        <v>191</v>
      </c>
      <c r="G173" t="s">
        <v>269</v>
      </c>
      <c r="H173" s="269"/>
      <c r="I173" s="269"/>
      <c r="J173" s="270"/>
      <c r="K173" s="270"/>
      <c r="L173" s="270"/>
      <c r="M173" s="270"/>
      <c r="N173" s="270"/>
      <c r="O173" s="270"/>
      <c r="P173" s="270"/>
      <c r="Q173" s="270"/>
      <c r="R173" s="287">
        <f t="shared" ref="R173:S173" si="36">hundred * $H64 * R94 / $H36 / hours_in_year</f>
        <v>0</v>
      </c>
      <c r="S173" s="287">
        <f t="shared" si="36"/>
        <v>0</v>
      </c>
      <c r="T173" s="287">
        <f t="shared" ref="T173:U173" si="37">hundred * $H64 * T94 / $H36 / hours_in_year</f>
        <v>0</v>
      </c>
      <c r="U173" s="287">
        <f t="shared" si="37"/>
        <v>0</v>
      </c>
      <c r="V173" s="287">
        <f t="shared" ref="V173:W173" si="38">hundred * $H64 * V94 / $H36 / hours_in_year</f>
        <v>0</v>
      </c>
      <c r="W173" s="287">
        <f t="shared" si="38"/>
        <v>0</v>
      </c>
      <c r="X173" s="287">
        <f t="shared" ref="X173:Y173" si="39">hundred * $H64 * X94 / $H36 / hours_in_year</f>
        <v>0</v>
      </c>
      <c r="Y173" s="287">
        <f t="shared" si="39"/>
        <v>0</v>
      </c>
      <c r="Z173" s="269"/>
      <c r="AA173" s="269"/>
    </row>
    <row r="174" spans="5:27" customFormat="1" x14ac:dyDescent="0.25">
      <c r="E174" s="2"/>
      <c r="F174" t="s">
        <v>192</v>
      </c>
      <c r="G174" t="s">
        <v>269</v>
      </c>
      <c r="H174" s="269"/>
      <c r="I174" s="269"/>
      <c r="J174" s="270"/>
      <c r="K174" s="270"/>
      <c r="L174" s="270"/>
      <c r="M174" s="270"/>
      <c r="N174" s="270"/>
      <c r="O174" s="270"/>
      <c r="P174" s="270"/>
      <c r="Q174" s="270"/>
      <c r="R174" s="287">
        <f t="shared" ref="R174:S174" si="40">hundred * $H65 * R95 / $H37 / hours_in_year</f>
        <v>-4.1342176953454657E-2</v>
      </c>
      <c r="S174" s="287">
        <f t="shared" si="40"/>
        <v>-4.0153301734941575E-2</v>
      </c>
      <c r="T174" s="287">
        <f t="shared" ref="T174:U174" si="41">hundred * $H65 * T95 / $H37 / hours_in_year</f>
        <v>-4.1342176953454657E-2</v>
      </c>
      <c r="U174" s="287">
        <f t="shared" si="41"/>
        <v>-4.1342176953454657E-2</v>
      </c>
      <c r="V174" s="287">
        <f t="shared" ref="V174:W174" si="42">hundred * $H65 * V95 / $H37 / hours_in_year</f>
        <v>-4.0153301734941575E-2</v>
      </c>
      <c r="W174" s="287">
        <f t="shared" si="42"/>
        <v>-4.0153301734941575E-2</v>
      </c>
      <c r="X174" s="287">
        <f t="shared" ref="X174:Y174" si="43">hundred * $H65 * X95 / $H37 / hours_in_year</f>
        <v>-3.9731442786436935E-2</v>
      </c>
      <c r="Y174" s="287">
        <f t="shared" si="43"/>
        <v>-3.9731442786436935E-2</v>
      </c>
      <c r="Z174" s="269"/>
      <c r="AA174" s="269"/>
    </row>
    <row r="175" spans="5:27" customFormat="1" x14ac:dyDescent="0.25">
      <c r="E175" s="2"/>
      <c r="F175" t="s">
        <v>193</v>
      </c>
      <c r="G175" t="s">
        <v>269</v>
      </c>
      <c r="H175" s="269"/>
      <c r="I175" s="269"/>
      <c r="J175" s="270"/>
      <c r="K175" s="270"/>
      <c r="L175" s="270"/>
      <c r="M175" s="270"/>
      <c r="N175" s="270"/>
      <c r="O175" s="270"/>
      <c r="P175" s="270"/>
      <c r="Q175" s="270"/>
      <c r="R175" s="287">
        <f t="shared" ref="R175:S175" si="44">hundred * $H66 * R96 / $H38 / hours_in_year</f>
        <v>-2.1600901695624043E-2</v>
      </c>
      <c r="S175" s="287">
        <f t="shared" si="44"/>
        <v>-2.0979725487308323E-2</v>
      </c>
      <c r="T175" s="287">
        <f t="shared" ref="T175:U175" si="45">hundred * $H66 * T96 / $H38 / hours_in_year</f>
        <v>-2.1600901695624043E-2</v>
      </c>
      <c r="U175" s="287">
        <f t="shared" si="45"/>
        <v>-2.1600901695624043E-2</v>
      </c>
      <c r="V175" s="287">
        <f t="shared" ref="V175:W175" si="46">hundred * $H66 * V96 / $H38 / hours_in_year</f>
        <v>-2.0979725487308323E-2</v>
      </c>
      <c r="W175" s="287">
        <f t="shared" si="46"/>
        <v>-2.0979725487308323E-2</v>
      </c>
      <c r="X175" s="287">
        <f t="shared" ref="X175:Y175" si="47">hundred * $H66 * X96 / $H38 / hours_in_year</f>
        <v>-2.0759308123067262E-2</v>
      </c>
      <c r="Y175" s="287">
        <f t="shared" si="47"/>
        <v>-2.0759308123067262E-2</v>
      </c>
      <c r="Z175" s="269"/>
      <c r="AA175" s="269"/>
    </row>
    <row r="176" spans="5:27" customFormat="1" x14ac:dyDescent="0.25">
      <c r="E176" s="2"/>
      <c r="F176" t="s">
        <v>194</v>
      </c>
      <c r="G176" t="s">
        <v>269</v>
      </c>
      <c r="H176" s="269"/>
      <c r="I176" s="269"/>
      <c r="J176" s="270"/>
      <c r="K176" s="270"/>
      <c r="L176" s="270"/>
      <c r="M176" s="270"/>
      <c r="N176" s="270"/>
      <c r="O176" s="270"/>
      <c r="P176" s="270"/>
      <c r="Q176" s="270"/>
      <c r="R176" s="287">
        <f t="shared" ref="R176:S176" si="48">hundred * $H67 * R97 / $H39 / hours_in_year</f>
        <v>-2.6684989382262946E-2</v>
      </c>
      <c r="S176" s="287">
        <f t="shared" si="48"/>
        <v>-2.5917610281288778E-2</v>
      </c>
      <c r="T176" s="287">
        <f t="shared" ref="T176:U176" si="49">hundred * $H67 * T97 / $H39 / hours_in_year</f>
        <v>-2.6684989382262946E-2</v>
      </c>
      <c r="U176" s="287">
        <f t="shared" si="49"/>
        <v>-2.6684989382262946E-2</v>
      </c>
      <c r="V176" s="287">
        <f t="shared" ref="V176:W176" si="50">hundred * $H67 * V97 / $H39 / hours_in_year</f>
        <v>-2.5917610281288778E-2</v>
      </c>
      <c r="W176" s="287">
        <f t="shared" si="50"/>
        <v>-2.5917610281288778E-2</v>
      </c>
      <c r="X176" s="287">
        <f t="shared" ref="X176:Y176" si="51">hundred * $H67 * X97 / $H39 / hours_in_year</f>
        <v>-2.5645314471265685E-2</v>
      </c>
      <c r="Y176" s="287">
        <f t="shared" si="51"/>
        <v>-2.5645314471265685E-2</v>
      </c>
      <c r="Z176" s="269"/>
      <c r="AA176" s="269"/>
    </row>
    <row r="177" spans="2:27" x14ac:dyDescent="0.25">
      <c r="D177"/>
      <c r="F177" t="s">
        <v>195</v>
      </c>
      <c r="G177" t="s">
        <v>269</v>
      </c>
      <c r="H177" s="269"/>
      <c r="I177" s="269"/>
      <c r="J177" s="270"/>
      <c r="K177" s="270"/>
      <c r="L177" s="270"/>
      <c r="M177" s="270"/>
      <c r="N177" s="270"/>
      <c r="O177" s="270"/>
      <c r="P177" s="270"/>
      <c r="Q177" s="270"/>
      <c r="R177" s="287">
        <f t="shared" ref="R177:S177" si="52">hundred * $H68 * R98 / $H40 / hours_in_year</f>
        <v>-4.2928526247507107E-2</v>
      </c>
      <c r="S177" s="287">
        <f t="shared" si="52"/>
        <v>-4.1694032450037041E-2</v>
      </c>
      <c r="T177" s="287">
        <f t="shared" ref="T177:U177" si="53">hundred * $H68 * T98 / $H40 / hours_in_year</f>
        <v>-4.2928526247507107E-2</v>
      </c>
      <c r="U177" s="287">
        <f t="shared" si="53"/>
        <v>-4.2928526247507107E-2</v>
      </c>
      <c r="V177" s="287">
        <f t="shared" ref="V177:W177" si="54">hundred * $H68 * V98 / $H40 / hours_in_year</f>
        <v>-4.1694032450037041E-2</v>
      </c>
      <c r="W177" s="287">
        <f t="shared" si="54"/>
        <v>-4.1694032450037041E-2</v>
      </c>
      <c r="X177" s="287">
        <f t="shared" ref="X177:Y177" si="55">hundred * $H68 * X98 / $H40 / hours_in_year</f>
        <v>-4.1255986263837995E-2</v>
      </c>
      <c r="Y177" s="287">
        <f t="shared" si="55"/>
        <v>-4.1255986263837995E-2</v>
      </c>
      <c r="Z177" s="269"/>
      <c r="AA177" s="269"/>
    </row>
    <row r="178" spans="2:27" x14ac:dyDescent="0.25">
      <c r="D178"/>
      <c r="F178" t="s">
        <v>196</v>
      </c>
      <c r="G178" t="s">
        <v>269</v>
      </c>
      <c r="H178" s="269"/>
      <c r="I178" s="269"/>
      <c r="J178" s="270"/>
      <c r="K178" s="270"/>
      <c r="L178" s="270"/>
      <c r="M178" s="270"/>
      <c r="N178" s="270"/>
      <c r="O178" s="270"/>
      <c r="P178" s="270"/>
      <c r="Q178" s="270"/>
      <c r="R178" s="287">
        <f t="shared" ref="R178:S178" si="56">hundred * $H69 * R99 / $H41 / hours_in_year</f>
        <v>-3.6148827919147558E-3</v>
      </c>
      <c r="S178" s="287">
        <f t="shared" si="56"/>
        <v>-3.5109297617205459E-3</v>
      </c>
      <c r="T178" s="287">
        <f t="shared" ref="T178:U178" si="57">hundred * $H69 * T99 / $H41 / hours_in_year</f>
        <v>-3.6148827919147558E-3</v>
      </c>
      <c r="U178" s="287">
        <f t="shared" si="57"/>
        <v>-3.6148827919147558E-3</v>
      </c>
      <c r="V178" s="287">
        <f t="shared" ref="V178:W178" si="58">hundred * $H69 * V99 / $H41 / hours_in_year</f>
        <v>-3.5109297617205459E-3</v>
      </c>
      <c r="W178" s="287">
        <f t="shared" si="58"/>
        <v>-3.5109297617205459E-3</v>
      </c>
      <c r="X178" s="287">
        <f t="shared" ref="X178:Y178" si="59">hundred * $H69 * X99 / $H41 / hours_in_year</f>
        <v>-3.4740432026193753E-3</v>
      </c>
      <c r="Y178" s="287">
        <f t="shared" si="59"/>
        <v>-3.4740432026193753E-3</v>
      </c>
      <c r="Z178" s="269"/>
      <c r="AA178" s="269"/>
    </row>
    <row r="179" spans="2:27" x14ac:dyDescent="0.25">
      <c r="D179"/>
      <c r="F179" t="s">
        <v>197</v>
      </c>
      <c r="G179" t="s">
        <v>269</v>
      </c>
      <c r="H179" s="269"/>
      <c r="I179" s="269"/>
      <c r="J179" s="270"/>
      <c r="K179" s="270"/>
      <c r="L179" s="270"/>
      <c r="M179" s="270"/>
      <c r="N179" s="270"/>
      <c r="O179" s="270"/>
      <c r="P179" s="270"/>
      <c r="Q179" s="270"/>
      <c r="R179" s="287">
        <f t="shared" ref="R179:S179" si="60">hundred * $H70 * R100 / $H42 / hours_in_year</f>
        <v>-9.8899974685459524E-2</v>
      </c>
      <c r="S179" s="287">
        <f t="shared" si="60"/>
        <v>-9.6055912333651294E-2</v>
      </c>
      <c r="T179" s="287">
        <f t="shared" ref="T179:U179" si="61">hundred * $H70 * T100 / $H42 / hours_in_year</f>
        <v>-9.8899974685459524E-2</v>
      </c>
      <c r="U179" s="287">
        <f t="shared" si="61"/>
        <v>-9.8899974685459524E-2</v>
      </c>
      <c r="V179" s="287">
        <f t="shared" ref="V179:W179" si="62">hundred * $H70 * V100 / $H42 / hours_in_year</f>
        <v>-9.6055912333651294E-2</v>
      </c>
      <c r="W179" s="287">
        <f t="shared" si="62"/>
        <v>-9.6055912333651294E-2</v>
      </c>
      <c r="X179" s="287">
        <f t="shared" ref="X179:Y179" si="63">hundred * $H70 * X100 / $H42 / hours_in_year</f>
        <v>-9.5046728918493556E-2</v>
      </c>
      <c r="Y179" s="287">
        <f t="shared" si="63"/>
        <v>-9.5046728918493556E-2</v>
      </c>
      <c r="Z179" s="269"/>
      <c r="AA179" s="269"/>
    </row>
    <row r="180" spans="2:27" x14ac:dyDescent="0.25">
      <c r="D180"/>
      <c r="F180" t="s">
        <v>198</v>
      </c>
      <c r="G180" t="s">
        <v>269</v>
      </c>
      <c r="H180" s="269"/>
      <c r="I180" s="269"/>
      <c r="J180" s="270"/>
      <c r="K180" s="270"/>
      <c r="L180" s="270"/>
      <c r="M180" s="270"/>
      <c r="N180" s="270"/>
      <c r="O180" s="270"/>
      <c r="P180" s="270"/>
      <c r="Q180" s="270"/>
      <c r="R180" s="287">
        <f t="shared" ref="R180:S180" si="64">hundred * $H71 * R101 / $H43 / hours_in_year</f>
        <v>-4.527167521255912E-2</v>
      </c>
      <c r="S180" s="287">
        <f t="shared" si="64"/>
        <v>-4.396979958028701E-2</v>
      </c>
      <c r="T180" s="287">
        <f t="shared" ref="T180:U180" si="65">hundred * $H71 * T101 / $H43 / hours_in_year</f>
        <v>-4.527167521255912E-2</v>
      </c>
      <c r="U180" s="287">
        <f t="shared" si="65"/>
        <v>-4.527167521255912E-2</v>
      </c>
      <c r="V180" s="287">
        <f t="shared" ref="V180:W180" si="66">hundred * $H71 * V101 / $H43 / hours_in_year</f>
        <v>-4.396979958028701E-2</v>
      </c>
      <c r="W180" s="287">
        <f t="shared" si="66"/>
        <v>-4.396979958028701E-2</v>
      </c>
      <c r="X180" s="287">
        <f t="shared" ref="X180:Y180" si="67">hundred * $H71 * X101 / $H43 / hours_in_year</f>
        <v>0</v>
      </c>
      <c r="Y180" s="287">
        <f t="shared" si="67"/>
        <v>0</v>
      </c>
      <c r="Z180" s="269"/>
      <c r="AA180" s="269"/>
    </row>
    <row r="181" spans="2:27" x14ac:dyDescent="0.25">
      <c r="D181"/>
      <c r="F181" t="s">
        <v>199</v>
      </c>
      <c r="G181" t="s">
        <v>269</v>
      </c>
      <c r="H181" s="269"/>
      <c r="I181" s="269"/>
      <c r="J181" s="270"/>
      <c r="K181" s="270"/>
      <c r="L181" s="270"/>
      <c r="M181" s="270"/>
      <c r="N181" s="270"/>
      <c r="O181" s="270"/>
      <c r="P181" s="270"/>
      <c r="Q181" s="270"/>
      <c r="R181" s="287">
        <f t="shared" ref="R181:S181" si="68">hundred * $H72 * R102 / $H44 / hours_in_year</f>
        <v>-9.0235801437168472E-2</v>
      </c>
      <c r="S181" s="287">
        <f t="shared" si="68"/>
        <v>0</v>
      </c>
      <c r="T181" s="287">
        <f t="shared" ref="T181:U181" si="69">hundred * $H72 * T102 / $H44 / hours_in_year</f>
        <v>-9.0235801437168472E-2</v>
      </c>
      <c r="U181" s="287">
        <f t="shared" si="69"/>
        <v>-9.0235801437168472E-2</v>
      </c>
      <c r="V181" s="287">
        <f t="shared" ref="V181:W181" si="70">hundred * $H72 * V102 / $H44 / hours_in_year</f>
        <v>0</v>
      </c>
      <c r="W181" s="287">
        <f t="shared" si="70"/>
        <v>0</v>
      </c>
      <c r="X181" s="287">
        <f t="shared" ref="X181:Y181" si="71">hundred * $H72 * X102 / $H44 / hours_in_year</f>
        <v>0</v>
      </c>
      <c r="Y181" s="287">
        <f t="shared" si="71"/>
        <v>0</v>
      </c>
      <c r="Z181" s="269"/>
      <c r="AA181" s="269"/>
    </row>
    <row r="182" spans="2:27" x14ac:dyDescent="0.25">
      <c r="D182"/>
      <c r="F182" t="s">
        <v>376</v>
      </c>
      <c r="G182" t="s">
        <v>269</v>
      </c>
      <c r="H182" s="269"/>
      <c r="I182" s="269"/>
      <c r="J182" s="270"/>
      <c r="K182" s="270"/>
      <c r="L182" s="270"/>
      <c r="M182" s="270"/>
      <c r="N182" s="270"/>
      <c r="O182" s="270"/>
      <c r="P182" s="270"/>
      <c r="Q182" s="270"/>
      <c r="R182" s="270"/>
      <c r="S182" s="270"/>
      <c r="T182" s="270"/>
      <c r="U182" s="270"/>
      <c r="V182" s="270"/>
      <c r="W182" s="270"/>
      <c r="X182" s="270"/>
      <c r="Y182" s="270"/>
      <c r="Z182" s="269"/>
      <c r="AA182" s="269"/>
    </row>
    <row r="183" spans="2:27" x14ac:dyDescent="0.25">
      <c r="D183"/>
      <c r="F183" s="37" t="s">
        <v>377</v>
      </c>
      <c r="G183" s="37" t="s">
        <v>269</v>
      </c>
      <c r="H183" s="273"/>
      <c r="I183" s="273"/>
      <c r="J183" s="274"/>
      <c r="K183" s="274"/>
      <c r="L183" s="274"/>
      <c r="M183" s="274"/>
      <c r="N183" s="274"/>
      <c r="O183" s="274"/>
      <c r="P183" s="274"/>
      <c r="Q183" s="274"/>
      <c r="R183" s="274"/>
      <c r="S183" s="274"/>
      <c r="T183" s="274"/>
      <c r="U183" s="274"/>
      <c r="V183" s="274"/>
      <c r="W183" s="274"/>
      <c r="X183" s="274"/>
      <c r="Y183" s="274"/>
      <c r="Z183" s="269"/>
      <c r="AA183" s="269"/>
    </row>
    <row r="184" spans="2:27" x14ac:dyDescent="0.25">
      <c r="D184"/>
      <c r="E184"/>
      <c r="J184" s="89"/>
      <c r="K184" s="89"/>
      <c r="L184" s="89"/>
      <c r="M184" s="89"/>
      <c r="N184" s="89"/>
      <c r="O184" s="89"/>
      <c r="P184" s="89"/>
      <c r="Q184" s="89"/>
      <c r="R184" s="89"/>
      <c r="S184" s="89"/>
      <c r="T184" s="89"/>
      <c r="U184" s="89"/>
      <c r="V184" s="89"/>
      <c r="W184" s="89"/>
      <c r="X184" s="89"/>
      <c r="Y184" s="89"/>
    </row>
    <row r="185" spans="2:27" x14ac:dyDescent="0.25">
      <c r="B185" s="30" t="s">
        <v>679</v>
      </c>
      <c r="C185" s="30"/>
      <c r="D185" s="30"/>
      <c r="E185" s="30"/>
      <c r="F185" s="30"/>
      <c r="G185" s="30"/>
      <c r="H185" s="30"/>
      <c r="I185" s="30"/>
      <c r="J185" s="184"/>
      <c r="K185" s="184"/>
      <c r="L185" s="184"/>
      <c r="M185" s="184"/>
      <c r="N185" s="184"/>
      <c r="O185" s="184"/>
      <c r="P185" s="184"/>
      <c r="Q185" s="184"/>
      <c r="R185" s="184"/>
      <c r="S185" s="184"/>
      <c r="T185" s="184"/>
      <c r="U185" s="184"/>
      <c r="V185" s="184"/>
      <c r="W185" s="184"/>
      <c r="X185" s="184"/>
      <c r="Y185" s="184"/>
      <c r="Z185" s="30"/>
      <c r="AA185" s="30"/>
    </row>
    <row r="186" spans="2:27" x14ac:dyDescent="0.25">
      <c r="B186" s="206"/>
      <c r="J186" s="89"/>
      <c r="K186" s="89"/>
      <c r="L186" s="89"/>
      <c r="M186" s="89"/>
      <c r="N186" s="89"/>
      <c r="O186" s="89"/>
      <c r="P186" s="89"/>
      <c r="Q186" s="89"/>
      <c r="R186" s="89"/>
      <c r="S186" s="89"/>
      <c r="T186" s="89"/>
      <c r="U186" s="89"/>
      <c r="V186" s="89"/>
      <c r="W186" s="89"/>
      <c r="X186" s="89"/>
      <c r="Y186" s="89"/>
    </row>
    <row r="187" spans="2:27" x14ac:dyDescent="0.25">
      <c r="B187" s="206"/>
      <c r="C187" s="29" t="s">
        <v>680</v>
      </c>
      <c r="J187" s="89"/>
      <c r="K187" s="89"/>
      <c r="L187" s="89"/>
      <c r="M187" s="89"/>
      <c r="N187" s="89"/>
      <c r="O187" s="89"/>
      <c r="P187" s="89"/>
      <c r="Q187" s="89"/>
      <c r="R187" s="89"/>
      <c r="S187" s="89"/>
      <c r="T187" s="89"/>
      <c r="U187" s="89"/>
      <c r="V187" s="89"/>
      <c r="W187" s="89"/>
      <c r="X187" s="89"/>
      <c r="Y187" s="89"/>
    </row>
    <row r="188" spans="2:27" x14ac:dyDescent="0.25">
      <c r="B188" s="206"/>
      <c r="C188" s="29" t="s">
        <v>681</v>
      </c>
      <c r="I188" t="s">
        <v>154</v>
      </c>
      <c r="J188" s="89"/>
      <c r="K188" s="89"/>
      <c r="L188" s="89"/>
      <c r="M188" s="89"/>
      <c r="N188" s="89"/>
      <c r="O188" s="89"/>
      <c r="P188" s="89"/>
      <c r="Q188" s="89"/>
      <c r="R188" s="89"/>
      <c r="S188" s="89"/>
      <c r="T188" s="89"/>
      <c r="U188" s="89"/>
      <c r="V188" s="89"/>
      <c r="W188" s="89"/>
      <c r="X188" s="89"/>
      <c r="Y188" s="89"/>
      <c r="AA188" t="s">
        <v>682</v>
      </c>
    </row>
    <row r="189" spans="2:27" x14ac:dyDescent="0.25">
      <c r="B189" s="206"/>
      <c r="J189" s="89"/>
      <c r="K189" s="89"/>
      <c r="L189" s="89"/>
      <c r="M189" s="89"/>
      <c r="N189" s="89"/>
      <c r="O189" s="89"/>
      <c r="P189" s="89"/>
      <c r="Q189" s="89"/>
      <c r="R189" s="89"/>
      <c r="S189" s="89"/>
      <c r="T189" s="89"/>
      <c r="U189" s="89"/>
      <c r="V189" s="89"/>
      <c r="W189" s="89"/>
      <c r="X189" s="89"/>
      <c r="Y189" s="89"/>
    </row>
    <row r="190" spans="2:27" x14ac:dyDescent="0.25">
      <c r="C190" s="31" t="str">
        <f ca="1">INDEX('Version control'!$H$34:$H$57,MATCH($A$1,'Version control'!$F$34:$F$57,0),1)&amp;"-D: Reactive power charges, all customer categories"</f>
        <v>Section 112-D: Reactive power charges, all customer categories</v>
      </c>
      <c r="D190" s="31"/>
      <c r="E190" s="31"/>
      <c r="F190" s="31"/>
      <c r="G190" s="31"/>
      <c r="H190" s="31"/>
      <c r="I190" s="31"/>
      <c r="J190" s="90"/>
      <c r="K190" s="90"/>
      <c r="L190" s="90"/>
      <c r="M190" s="90"/>
      <c r="N190" s="90"/>
      <c r="O190" s="90"/>
      <c r="P190" s="90"/>
      <c r="Q190" s="90"/>
      <c r="R190" s="90"/>
      <c r="S190" s="90"/>
      <c r="T190" s="90"/>
      <c r="U190" s="90"/>
      <c r="V190" s="90"/>
      <c r="W190" s="90"/>
      <c r="X190" s="90"/>
      <c r="Y190" s="90"/>
      <c r="Z190" s="31"/>
      <c r="AA190" s="31"/>
    </row>
    <row r="191" spans="2:27" x14ac:dyDescent="0.25">
      <c r="C191" s="32"/>
      <c r="D191"/>
      <c r="E191" s="32"/>
      <c r="I191" t="s">
        <v>154</v>
      </c>
      <c r="J191" s="89"/>
      <c r="K191" s="89"/>
      <c r="L191" s="89"/>
      <c r="M191" s="89"/>
      <c r="N191" s="89"/>
      <c r="O191" s="89"/>
      <c r="P191" s="89"/>
      <c r="Q191" s="89"/>
      <c r="R191" s="89"/>
      <c r="S191" s="89"/>
      <c r="T191" s="89"/>
      <c r="U191" s="89"/>
      <c r="V191" s="89"/>
      <c r="W191" s="89"/>
      <c r="X191" s="89"/>
      <c r="Y191" s="89"/>
      <c r="AA191" t="s">
        <v>683</v>
      </c>
    </row>
    <row r="192" spans="2:27" x14ac:dyDescent="0.25">
      <c r="E192" s="32" t="s">
        <v>621</v>
      </c>
      <c r="J192" s="89"/>
      <c r="K192" s="89"/>
      <c r="L192" s="89"/>
      <c r="M192" s="89"/>
      <c r="N192" s="89"/>
      <c r="O192" s="89"/>
      <c r="P192" s="89"/>
      <c r="Q192" s="89"/>
      <c r="R192" s="89"/>
      <c r="S192" s="89"/>
      <c r="T192" s="89"/>
      <c r="U192" s="89"/>
      <c r="V192" s="89"/>
      <c r="W192" s="89"/>
      <c r="X192" s="89"/>
      <c r="Y192" s="89"/>
    </row>
    <row r="193" spans="4:27" x14ac:dyDescent="0.25">
      <c r="F193" s="23" t="s">
        <v>189</v>
      </c>
      <c r="G193" s="23" t="s">
        <v>272</v>
      </c>
      <c r="H193" s="267"/>
      <c r="I193" s="267"/>
      <c r="J193" s="285"/>
      <c r="K193" s="285"/>
      <c r="L193" s="285"/>
      <c r="M193" s="285"/>
      <c r="N193" s="285"/>
      <c r="O193" s="285"/>
      <c r="P193" s="285"/>
      <c r="Q193" s="285"/>
      <c r="R193" s="285"/>
      <c r="S193" s="285"/>
      <c r="T193" s="285"/>
      <c r="U193" s="285"/>
      <c r="V193" s="285"/>
      <c r="W193" s="285"/>
      <c r="X193" s="285"/>
      <c r="Y193" s="285"/>
      <c r="Z193" s="269"/>
      <c r="AA193" s="269"/>
    </row>
    <row r="194" spans="4:27" x14ac:dyDescent="0.25">
      <c r="F194" t="s">
        <v>191</v>
      </c>
      <c r="G194" t="s">
        <v>272</v>
      </c>
      <c r="H194" s="269"/>
      <c r="I194" s="269"/>
      <c r="J194" s="270"/>
      <c r="K194" s="270"/>
      <c r="L194" s="270"/>
      <c r="M194" s="270"/>
      <c r="N194" s="270"/>
      <c r="O194" s="270"/>
      <c r="P194" s="270"/>
      <c r="Q194" s="270"/>
      <c r="R194" s="270"/>
      <c r="S194" s="270"/>
      <c r="T194" s="270"/>
      <c r="U194" s="270"/>
      <c r="V194" s="270"/>
      <c r="W194" s="270"/>
      <c r="X194" s="270"/>
      <c r="Y194" s="270"/>
      <c r="Z194" s="269"/>
      <c r="AA194" s="269"/>
    </row>
    <row r="195" spans="4:27" x14ac:dyDescent="0.25">
      <c r="F195" t="s">
        <v>192</v>
      </c>
      <c r="G195" t="s">
        <v>272</v>
      </c>
      <c r="H195" s="269"/>
      <c r="I195" s="269"/>
      <c r="J195" s="287">
        <f t="shared" ref="J195:K195" si="72">ABS(J125 + J160)*(1-J82)*PowerFactor*$H23</f>
        <v>2.8904052062427268E-2</v>
      </c>
      <c r="K195" s="287">
        <f t="shared" si="72"/>
        <v>0</v>
      </c>
      <c r="L195" s="287">
        <f t="shared" ref="L195:M195" si="73">ABS(L125 + L160)*(1-L82)*PowerFactor*$H23</f>
        <v>2.2986683482396311E-2</v>
      </c>
      <c r="M195" s="287">
        <f t="shared" si="73"/>
        <v>0</v>
      </c>
      <c r="N195" s="287">
        <f t="shared" ref="N195:P195" si="74">ABS(N125 + N160)*(1-N82)*PowerFactor*$H23</f>
        <v>1.9179046164546406E-2</v>
      </c>
      <c r="O195" s="287">
        <f t="shared" si="74"/>
        <v>1.8645892266864222E-2</v>
      </c>
      <c r="P195" s="287">
        <f t="shared" si="74"/>
        <v>1.4558428356244643E-2</v>
      </c>
      <c r="Q195" s="287">
        <f t="shared" ref="Q195:S195" si="75">ABS(Q125 + Q160)*(1-Q82)*PowerFactor*$H23</f>
        <v>2.6376977359197064E-2</v>
      </c>
      <c r="R195" s="287">
        <f t="shared" si="75"/>
        <v>1.3807103983555247E-2</v>
      </c>
      <c r="S195" s="287">
        <f t="shared" si="75"/>
        <v>1.3410053683471561E-2</v>
      </c>
      <c r="T195" s="287">
        <f t="shared" ref="T195:U195" si="76">ABS(T125 + T160)*(1-T82)*PowerFactor*$H23</f>
        <v>1.3807103983555247E-2</v>
      </c>
      <c r="U195" s="287">
        <f t="shared" si="76"/>
        <v>1.3807103983555247E-2</v>
      </c>
      <c r="V195" s="287">
        <f t="shared" ref="V195:W195" si="77">ABS(V125 + V160)*(1-V82)*PowerFactor*$H23</f>
        <v>1.3410053683471561E-2</v>
      </c>
      <c r="W195" s="287">
        <f t="shared" si="77"/>
        <v>1.3410053683471561E-2</v>
      </c>
      <c r="X195" s="287">
        <f t="shared" ref="X195:Y195" si="78">ABS(X125 + X160)*(1-X82)*PowerFactor*$H23</f>
        <v>1.3269164867312838E-2</v>
      </c>
      <c r="Y195" s="287">
        <f t="shared" si="78"/>
        <v>1.3269164867312838E-2</v>
      </c>
      <c r="Z195" s="269"/>
      <c r="AA195" s="269"/>
    </row>
    <row r="196" spans="4:27" x14ac:dyDescent="0.25">
      <c r="F196" t="s">
        <v>193</v>
      </c>
      <c r="G196" t="s">
        <v>272</v>
      </c>
      <c r="H196" s="269"/>
      <c r="I196" s="269"/>
      <c r="J196" s="287">
        <f t="shared" ref="J196:K196" si="79">ABS(J126 + J161)*(1-J83)*PowerFactor*$H24</f>
        <v>1.510209749981534E-2</v>
      </c>
      <c r="K196" s="287">
        <f t="shared" si="79"/>
        <v>0</v>
      </c>
      <c r="L196" s="287">
        <f t="shared" ref="L196:M196" si="80">ABS(L126 + L161)*(1-L83)*PowerFactor*$H24</f>
        <v>1.2010327631529726E-2</v>
      </c>
      <c r="M196" s="287">
        <f t="shared" si="80"/>
        <v>0</v>
      </c>
      <c r="N196" s="287">
        <f t="shared" ref="N196:P196" si="81">ABS(N126 + N161)*(1-N83)*PowerFactor*$H24</f>
        <v>1.0020872661897494E-2</v>
      </c>
      <c r="O196" s="287">
        <f t="shared" si="81"/>
        <v>9.7423047252008441E-3</v>
      </c>
      <c r="P196" s="287">
        <f t="shared" si="81"/>
        <v>7.72254970523661E-3</v>
      </c>
      <c r="Q196" s="287">
        <f t="shared" ref="Q196:S196" si="82">ABS(Q126 + Q161)*(1-Q83)*PowerFactor*$H24</f>
        <v>1.3781724547432327E-2</v>
      </c>
      <c r="R196" s="287">
        <f t="shared" si="82"/>
        <v>7.2140829977535579E-3</v>
      </c>
      <c r="S196" s="287">
        <f t="shared" si="82"/>
        <v>7.0066279208237225E-3</v>
      </c>
      <c r="T196" s="287">
        <f t="shared" ref="T196:U196" si="83">ABS(T126 + T161)*(1-T83)*PowerFactor*$H24</f>
        <v>7.2140829977535579E-3</v>
      </c>
      <c r="U196" s="287">
        <f t="shared" si="83"/>
        <v>7.2140829977535579E-3</v>
      </c>
      <c r="V196" s="287">
        <f t="shared" ref="V196:W196" si="84">ABS(V126 + V161)*(1-V83)*PowerFactor*$H24</f>
        <v>7.0066279208237225E-3</v>
      </c>
      <c r="W196" s="287">
        <f t="shared" si="84"/>
        <v>7.0066279208237225E-3</v>
      </c>
      <c r="X196" s="287">
        <f t="shared" ref="X196:Y196" si="85">ABS(X126 + X161)*(1-X83)*PowerFactor*$H24</f>
        <v>6.9330148290099114E-3</v>
      </c>
      <c r="Y196" s="287">
        <f t="shared" si="85"/>
        <v>6.9330148290099114E-3</v>
      </c>
      <c r="Z196" s="269"/>
      <c r="AA196" s="269"/>
    </row>
    <row r="197" spans="4:27" x14ac:dyDescent="0.25">
      <c r="F197" t="s">
        <v>194</v>
      </c>
      <c r="G197" t="s">
        <v>272</v>
      </c>
      <c r="H197" s="269"/>
      <c r="I197" s="269"/>
      <c r="J197" s="287">
        <f t="shared" ref="J197:K197" si="86">ABS(J127 + J162)*(1-J84)*PowerFactor*$H25</f>
        <v>1.8656596706521401E-2</v>
      </c>
      <c r="K197" s="287">
        <f t="shared" si="86"/>
        <v>0</v>
      </c>
      <c r="L197" s="287">
        <f t="shared" ref="L197:M197" si="87">ABS(L127 + L162)*(1-L84)*PowerFactor*$H25</f>
        <v>1.4837133645666122E-2</v>
      </c>
      <c r="M197" s="287">
        <f t="shared" si="87"/>
        <v>0</v>
      </c>
      <c r="N197" s="287">
        <f t="shared" ref="N197:P197" si="88">ABS(N127 + N162)*(1-N84)*PowerFactor*$H25</f>
        <v>1.2379431393732765E-2</v>
      </c>
      <c r="O197" s="287">
        <f t="shared" si="88"/>
        <v>1.203529842476069E-2</v>
      </c>
      <c r="P197" s="287">
        <f t="shared" si="88"/>
        <v>7.1328372196578383E-3</v>
      </c>
      <c r="Q197" s="287">
        <f t="shared" ref="Q197:S197" si="89">ABS(Q127 + Q162)*(1-Q84)*PowerFactor*$H25</f>
        <v>1.7025454696273482E-2</v>
      </c>
      <c r="R197" s="287">
        <f t="shared" si="89"/>
        <v>8.9120227900863908E-3</v>
      </c>
      <c r="S197" s="287">
        <f t="shared" si="89"/>
        <v>8.6557401310022718E-3</v>
      </c>
      <c r="T197" s="287">
        <f t="shared" ref="T197:U197" si="90">ABS(T127 + T162)*(1-T84)*PowerFactor*$H25</f>
        <v>8.9120227900863908E-3</v>
      </c>
      <c r="U197" s="287">
        <f t="shared" si="90"/>
        <v>8.9120227900863908E-3</v>
      </c>
      <c r="V197" s="287">
        <f t="shared" ref="V197:W197" si="91">ABS(V127 + V162)*(1-V84)*PowerFactor*$H25</f>
        <v>8.6557401310022718E-3</v>
      </c>
      <c r="W197" s="287">
        <f t="shared" si="91"/>
        <v>8.6557401310022718E-3</v>
      </c>
      <c r="X197" s="287">
        <f t="shared" ref="X197:Y197" si="92">ABS(X127 + X162)*(1-X84)*PowerFactor*$H25</f>
        <v>8.0044914089818803E-3</v>
      </c>
      <c r="Y197" s="287">
        <f t="shared" si="92"/>
        <v>8.0044914089818803E-3</v>
      </c>
      <c r="Z197" s="269"/>
      <c r="AA197" s="269"/>
    </row>
    <row r="198" spans="4:27" x14ac:dyDescent="0.25">
      <c r="F198" t="s">
        <v>195</v>
      </c>
      <c r="G198" t="s">
        <v>272</v>
      </c>
      <c r="H198" s="269"/>
      <c r="I198" s="269"/>
      <c r="J198" s="287">
        <f t="shared" ref="J198:K198" si="93">ABS(J128 + J163)*(1-J85)*PowerFactor*$H26</f>
        <v>3.0013135472236812E-2</v>
      </c>
      <c r="K198" s="287">
        <f t="shared" si="93"/>
        <v>0</v>
      </c>
      <c r="L198" s="287">
        <f t="shared" ref="L198:M198" si="94">ABS(L128 + L163)*(1-L85)*PowerFactor*$H26</f>
        <v>2.3868710308316984E-2</v>
      </c>
      <c r="M198" s="287">
        <f t="shared" si="94"/>
        <v>0</v>
      </c>
      <c r="N198" s="287">
        <f t="shared" ref="N198:P198" si="95">ABS(N128 + N163)*(1-N85)*PowerFactor*$H26</f>
        <v>1.9914969344837111E-2</v>
      </c>
      <c r="O198" s="287">
        <f t="shared" si="95"/>
        <v>1.9361357687754367E-2</v>
      </c>
      <c r="P198" s="287">
        <f t="shared" si="95"/>
        <v>0</v>
      </c>
      <c r="Q198" s="287">
        <f t="shared" ref="Q198:S198" si="96">ABS(Q128 + Q163)*(1-Q85)*PowerFactor*$H26</f>
        <v>2.7389093858531607E-2</v>
      </c>
      <c r="R198" s="287">
        <f t="shared" si="96"/>
        <v>1.4336899250066764E-2</v>
      </c>
      <c r="S198" s="287">
        <f t="shared" si="96"/>
        <v>1.3924613650111224E-2</v>
      </c>
      <c r="T198" s="287">
        <f t="shared" ref="T198:U198" si="97">ABS(T128 + T163)*(1-T85)*PowerFactor*$H26</f>
        <v>1.4336899250066764E-2</v>
      </c>
      <c r="U198" s="287">
        <f t="shared" si="97"/>
        <v>1.4336899250066764E-2</v>
      </c>
      <c r="V198" s="287">
        <f t="shared" ref="V198:W198" si="98">ABS(V128 + V163)*(1-V85)*PowerFactor*$H26</f>
        <v>1.3924613650111224E-2</v>
      </c>
      <c r="W198" s="287">
        <f t="shared" si="98"/>
        <v>1.3924613650111224E-2</v>
      </c>
      <c r="X198" s="287">
        <f t="shared" ref="X198:Y198" si="99">ABS(X128 + X163)*(1-X85)*PowerFactor*$H26</f>
        <v>8.9334537304152865E-3</v>
      </c>
      <c r="Y198" s="287">
        <f t="shared" si="99"/>
        <v>8.9334537304152865E-3</v>
      </c>
      <c r="Z198" s="269"/>
      <c r="AA198" s="269"/>
    </row>
    <row r="199" spans="4:27" x14ac:dyDescent="0.25">
      <c r="F199" t="s">
        <v>196</v>
      </c>
      <c r="G199" t="s">
        <v>272</v>
      </c>
      <c r="H199" s="269"/>
      <c r="I199" s="269"/>
      <c r="J199" s="287">
        <f t="shared" ref="J199:K199" si="100">ABS(J129 + J164)*(1-J86)*PowerFactor*$H27</f>
        <v>2.5273163659163718E-3</v>
      </c>
      <c r="K199" s="287">
        <f t="shared" si="100"/>
        <v>0</v>
      </c>
      <c r="L199" s="287">
        <f t="shared" ref="L199:M199" si="101">ABS(L129 + L164)*(1-L86)*PowerFactor*$H27</f>
        <v>2.0099127014346079E-3</v>
      </c>
      <c r="M199" s="287">
        <f t="shared" si="101"/>
        <v>0</v>
      </c>
      <c r="N199" s="287">
        <f t="shared" ref="N199:P199" si="102">ABS(N129 + N164)*(1-N86)*PowerFactor*$H27</f>
        <v>1.6769800009228625E-3</v>
      </c>
      <c r="O199" s="287">
        <f t="shared" si="102"/>
        <v>1.630362019186113E-3</v>
      </c>
      <c r="P199" s="287">
        <f t="shared" si="102"/>
        <v>0</v>
      </c>
      <c r="Q199" s="287">
        <f t="shared" ref="Q199:S199" si="103">ABS(Q129 + Q164)*(1-Q86)*PowerFactor*$H27</f>
        <v>2.3063536703893622E-3</v>
      </c>
      <c r="R199" s="287">
        <f t="shared" si="103"/>
        <v>1.207267402791204E-3</v>
      </c>
      <c r="S199" s="287">
        <f t="shared" si="103"/>
        <v>1.1725500656051856E-3</v>
      </c>
      <c r="T199" s="287">
        <f t="shared" ref="T199:U199" si="104">ABS(T129 + T164)*(1-T86)*PowerFactor*$H27</f>
        <v>1.207267402791204E-3</v>
      </c>
      <c r="U199" s="287">
        <f t="shared" si="104"/>
        <v>1.207267402791204E-3</v>
      </c>
      <c r="V199" s="287">
        <f t="shared" ref="V199:W199" si="105">ABS(V129 + V164)*(1-V86)*PowerFactor*$H27</f>
        <v>1.1725500656051856E-3</v>
      </c>
      <c r="W199" s="287">
        <f t="shared" si="105"/>
        <v>1.1725500656051856E-3</v>
      </c>
      <c r="X199" s="287">
        <f t="shared" ref="X199:Y199" si="106">ABS(X129 + X164)*(1-X86)*PowerFactor*$H27</f>
        <v>7.5225941781125578E-4</v>
      </c>
      <c r="Y199" s="287">
        <f t="shared" si="106"/>
        <v>7.5225941781125578E-4</v>
      </c>
      <c r="Z199" s="269"/>
      <c r="AA199" s="269"/>
    </row>
    <row r="200" spans="4:27" x14ac:dyDescent="0.25">
      <c r="F200" t="s">
        <v>197</v>
      </c>
      <c r="G200" t="s">
        <v>272</v>
      </c>
      <c r="H200" s="269"/>
      <c r="I200" s="269"/>
      <c r="J200" s="287">
        <f t="shared" ref="J200:K200" si="107">ABS(J130 + J165)*(1-J87)*PowerFactor*$H28</f>
        <v>3.6015378242102082E-2</v>
      </c>
      <c r="K200" s="287">
        <f t="shared" si="107"/>
        <v>0</v>
      </c>
      <c r="L200" s="287">
        <f t="shared" ref="L200:M200" si="108">ABS(L130 + L165)*(1-L87)*PowerFactor*$H28</f>
        <v>2.864214672606915E-2</v>
      </c>
      <c r="M200" s="287">
        <f t="shared" si="108"/>
        <v>0</v>
      </c>
      <c r="N200" s="287">
        <f t="shared" ref="N200:P200" si="109">ABS(N130 + N165)*(1-N87)*PowerFactor*$H28</f>
        <v>1.9118166558709692E-2</v>
      </c>
      <c r="O200" s="287">
        <f t="shared" si="109"/>
        <v>0</v>
      </c>
      <c r="P200" s="287">
        <f t="shared" si="109"/>
        <v>0</v>
      </c>
      <c r="Q200" s="287">
        <f t="shared" ref="Q200:S200" si="110">ABS(Q130 + Q165)*(1-Q87)*PowerFactor*$H28</f>
        <v>3.2866561907066723E-2</v>
      </c>
      <c r="R200" s="287">
        <f t="shared" si="110"/>
        <v>1.7204095513036442E-2</v>
      </c>
      <c r="S200" s="287">
        <f t="shared" si="110"/>
        <v>1.6709358072494577E-2</v>
      </c>
      <c r="T200" s="287">
        <f t="shared" ref="T200:U200" si="111">ABS(T130 + T165)*(1-T87)*PowerFactor*$H28</f>
        <v>1.7204095513036442E-2</v>
      </c>
      <c r="U200" s="287">
        <f t="shared" si="111"/>
        <v>1.7204095513036442E-2</v>
      </c>
      <c r="V200" s="287">
        <f t="shared" ref="V200:W200" si="112">ABS(V130 + V165)*(1-V87)*PowerFactor*$H28</f>
        <v>1.6709358072494577E-2</v>
      </c>
      <c r="W200" s="287">
        <f t="shared" si="112"/>
        <v>1.6709358072494577E-2</v>
      </c>
      <c r="X200" s="287">
        <f t="shared" ref="X200:Y200" si="113">ABS(X130 + X165)*(1-X87)*PowerFactor*$H28</f>
        <v>1.1496029629749932E-2</v>
      </c>
      <c r="Y200" s="287">
        <f t="shared" si="113"/>
        <v>1.1496029629749932E-2</v>
      </c>
      <c r="Z200" s="269"/>
      <c r="AA200" s="269"/>
    </row>
    <row r="201" spans="4:27" x14ac:dyDescent="0.25">
      <c r="F201" t="s">
        <v>198</v>
      </c>
      <c r="G201" t="s">
        <v>272</v>
      </c>
      <c r="H201" s="269"/>
      <c r="I201" s="269"/>
      <c r="J201" s="287">
        <f t="shared" ref="J201:K201" si="114">ABS(J131 + J166)*(1-J88)*PowerFactor*$H29</f>
        <v>9.2129472167816508E-3</v>
      </c>
      <c r="K201" s="287">
        <f t="shared" si="114"/>
        <v>0</v>
      </c>
      <c r="L201" s="287">
        <f t="shared" ref="L201:M201" si="115">ABS(L131 + L166)*(1-L88)*PowerFactor*$H29</f>
        <v>7.3268308939794967E-3</v>
      </c>
      <c r="M201" s="287">
        <f t="shared" si="115"/>
        <v>0</v>
      </c>
      <c r="N201" s="287">
        <f t="shared" ref="N201:P201" si="116">ABS(N131 + N166)*(1-N88)*PowerFactor*$H29</f>
        <v>0</v>
      </c>
      <c r="O201" s="287">
        <f t="shared" si="116"/>
        <v>0</v>
      </c>
      <c r="P201" s="287">
        <f t="shared" si="116"/>
        <v>0</v>
      </c>
      <c r="Q201" s="287">
        <f t="shared" ref="Q201:S201" si="117">ABS(Q131 + Q166)*(1-Q88)*PowerFactor*$H29</f>
        <v>8.4074613353059442E-3</v>
      </c>
      <c r="R201" s="287">
        <f t="shared" si="117"/>
        <v>4.4009096005768814E-3</v>
      </c>
      <c r="S201" s="287">
        <f t="shared" si="117"/>
        <v>4.2743528309870087E-3</v>
      </c>
      <c r="T201" s="287">
        <f t="shared" ref="T201:U201" si="118">ABS(T131 + T166)*(1-T88)*PowerFactor*$H29</f>
        <v>4.4009096005768814E-3</v>
      </c>
      <c r="U201" s="287">
        <f t="shared" si="118"/>
        <v>4.4009096005768814E-3</v>
      </c>
      <c r="V201" s="287">
        <f t="shared" ref="V201:W201" si="119">ABS(V131 + V166)*(1-V88)*PowerFactor*$H29</f>
        <v>4.2743528309870087E-3</v>
      </c>
      <c r="W201" s="287">
        <f t="shared" si="119"/>
        <v>4.2743528309870087E-3</v>
      </c>
      <c r="X201" s="287">
        <f t="shared" ref="X201:Y201" si="120">ABS(X131 + X166)*(1-X88)*PowerFactor*$H29</f>
        <v>0</v>
      </c>
      <c r="Y201" s="287">
        <f t="shared" si="120"/>
        <v>0</v>
      </c>
      <c r="Z201" s="269"/>
      <c r="AA201" s="269"/>
    </row>
    <row r="202" spans="4:27" x14ac:dyDescent="0.25">
      <c r="F202" t="s">
        <v>199</v>
      </c>
      <c r="G202" t="s">
        <v>272</v>
      </c>
      <c r="H202" s="269"/>
      <c r="I202" s="269"/>
      <c r="J202" s="287">
        <f t="shared" ref="J202:K202" si="121">ABS(J132 + J167)*(1-J89)*PowerFactor*$H30</f>
        <v>0</v>
      </c>
      <c r="K202" s="287">
        <f t="shared" si="121"/>
        <v>0</v>
      </c>
      <c r="L202" s="287">
        <f t="shared" ref="L202:M202" si="122">ABS(L132 + L167)*(1-L89)*PowerFactor*$H30</f>
        <v>0</v>
      </c>
      <c r="M202" s="287">
        <f t="shared" si="122"/>
        <v>0</v>
      </c>
      <c r="N202" s="287">
        <f t="shared" ref="N202:P202" si="123">ABS(N132 + N167)*(1-N89)*PowerFactor*$H30</f>
        <v>0</v>
      </c>
      <c r="O202" s="287">
        <f t="shared" si="123"/>
        <v>0</v>
      </c>
      <c r="P202" s="287">
        <f t="shared" si="123"/>
        <v>0</v>
      </c>
      <c r="Q202" s="287">
        <f t="shared" ref="Q202:S202" si="124">ABS(Q132 + Q167)*(1-Q89)*PowerFactor*$H30</f>
        <v>3.5283415635257069E-3</v>
      </c>
      <c r="R202" s="287">
        <f t="shared" si="124"/>
        <v>1.8469204486052714E-3</v>
      </c>
      <c r="S202" s="287">
        <f t="shared" si="124"/>
        <v>0</v>
      </c>
      <c r="T202" s="287">
        <f t="shared" ref="T202:U202" si="125">ABS(T132 + T167)*(1-T89)*PowerFactor*$H30</f>
        <v>1.8469204486052714E-3</v>
      </c>
      <c r="U202" s="287">
        <f t="shared" si="125"/>
        <v>1.8469204486052714E-3</v>
      </c>
      <c r="V202" s="287">
        <f t="shared" ref="V202:W202" si="126">ABS(V132 + V167)*(1-V89)*PowerFactor*$H30</f>
        <v>0</v>
      </c>
      <c r="W202" s="287">
        <f t="shared" si="126"/>
        <v>0</v>
      </c>
      <c r="X202" s="287">
        <f t="shared" ref="X202:Y202" si="127">ABS(X132 + X167)*(1-X89)*PowerFactor*$H30</f>
        <v>0</v>
      </c>
      <c r="Y202" s="287">
        <f t="shared" si="127"/>
        <v>0</v>
      </c>
      <c r="Z202" s="269"/>
      <c r="AA202" s="269"/>
    </row>
    <row r="203" spans="4:27" x14ac:dyDescent="0.25">
      <c r="F203" t="s">
        <v>376</v>
      </c>
      <c r="G203" t="s">
        <v>272</v>
      </c>
      <c r="H203" s="269"/>
      <c r="I203" s="269"/>
      <c r="J203" s="270"/>
      <c r="K203" s="270"/>
      <c r="L203" s="270"/>
      <c r="M203" s="270"/>
      <c r="N203" s="270"/>
      <c r="O203" s="270"/>
      <c r="P203" s="270"/>
      <c r="Q203" s="270"/>
      <c r="R203" s="270"/>
      <c r="S203" s="270"/>
      <c r="T203" s="270"/>
      <c r="U203" s="270"/>
      <c r="V203" s="270"/>
      <c r="W203" s="270"/>
      <c r="X203" s="270"/>
      <c r="Y203" s="270"/>
      <c r="Z203" s="269"/>
      <c r="AA203" s="269"/>
    </row>
    <row r="204" spans="4:27" x14ac:dyDescent="0.25">
      <c r="F204" s="37" t="s">
        <v>377</v>
      </c>
      <c r="G204" s="37" t="s">
        <v>272</v>
      </c>
      <c r="H204" s="273"/>
      <c r="I204" s="273"/>
      <c r="J204" s="274"/>
      <c r="K204" s="274"/>
      <c r="L204" s="274"/>
      <c r="M204" s="274"/>
      <c r="N204" s="274"/>
      <c r="O204" s="274"/>
      <c r="P204" s="274"/>
      <c r="Q204" s="274"/>
      <c r="R204" s="274"/>
      <c r="S204" s="274"/>
      <c r="T204" s="274"/>
      <c r="U204" s="274"/>
      <c r="V204" s="274"/>
      <c r="W204" s="274"/>
      <c r="X204" s="274"/>
      <c r="Y204" s="274"/>
      <c r="Z204" s="269"/>
      <c r="AA204" s="269"/>
    </row>
    <row r="205" spans="4:27" x14ac:dyDescent="0.25">
      <c r="D205"/>
      <c r="J205" s="89"/>
      <c r="K205" s="89"/>
      <c r="L205" s="89"/>
      <c r="M205" s="89"/>
      <c r="N205" s="89"/>
      <c r="O205" s="89"/>
      <c r="P205" s="89"/>
      <c r="Q205" s="89"/>
      <c r="R205" s="89"/>
      <c r="S205" s="89"/>
      <c r="T205" s="89"/>
      <c r="U205" s="89"/>
      <c r="V205" s="89"/>
      <c r="W205" s="89"/>
      <c r="X205" s="89"/>
      <c r="Y205" s="89"/>
    </row>
    <row r="206" spans="4:27" x14ac:dyDescent="0.25">
      <c r="E206" s="32" t="s">
        <v>622</v>
      </c>
      <c r="J206" s="89"/>
      <c r="K206" s="89"/>
      <c r="L206" s="89"/>
      <c r="M206" s="89"/>
      <c r="N206" s="89"/>
      <c r="O206" s="89"/>
      <c r="P206" s="89"/>
      <c r="Q206" s="89"/>
      <c r="R206" s="89"/>
      <c r="S206" s="89"/>
      <c r="T206" s="89"/>
      <c r="U206" s="89"/>
      <c r="V206" s="89"/>
      <c r="W206" s="89"/>
      <c r="X206" s="89"/>
      <c r="Y206" s="89"/>
    </row>
    <row r="207" spans="4:27" x14ac:dyDescent="0.25">
      <c r="F207" s="23" t="s">
        <v>189</v>
      </c>
      <c r="G207" s="23" t="s">
        <v>272</v>
      </c>
      <c r="H207" s="267"/>
      <c r="I207" s="267"/>
      <c r="J207" s="286">
        <f t="shared" ref="J207:K207" si="128">ABS(J137 + J172)*(1-J81)*PowerFactor*$H22</f>
        <v>1.6911961656529601E-2</v>
      </c>
      <c r="K207" s="286">
        <f t="shared" si="128"/>
        <v>0</v>
      </c>
      <c r="L207" s="286">
        <f t="shared" ref="L207:M207" si="129">ABS(L137 + L172)*(1-L81)*PowerFactor*$H22</f>
        <v>1.3449668192730996E-2</v>
      </c>
      <c r="M207" s="286">
        <f t="shared" si="129"/>
        <v>0</v>
      </c>
      <c r="N207" s="286">
        <f t="shared" ref="N207:P207" si="130">ABS(N137 + N172)*(1-N81)*PowerFactor*$H22</f>
        <v>1.1221793146617438E-2</v>
      </c>
      <c r="O207" s="286">
        <f t="shared" si="130"/>
        <v>1.0909841097293833E-2</v>
      </c>
      <c r="P207" s="286">
        <f t="shared" si="130"/>
        <v>8.6480347850490628E-3</v>
      </c>
      <c r="Q207" s="286">
        <f t="shared" ref="Q207:S207" si="131">ABS(Q137 + Q172)*(1-Q81)*PowerFactor*$H22</f>
        <v>1.5433352692225585E-2</v>
      </c>
      <c r="R207" s="286">
        <f t="shared" si="131"/>
        <v>8.0786324579431475E-3</v>
      </c>
      <c r="S207" s="286">
        <f t="shared" si="131"/>
        <v>7.8463155690783621E-3</v>
      </c>
      <c r="T207" s="286">
        <f t="shared" ref="T207:U207" si="132">ABS(T137 + T172)*(1-T81)*PowerFactor*$H22</f>
        <v>8.0786324579431475E-3</v>
      </c>
      <c r="U207" s="286">
        <f t="shared" si="132"/>
        <v>8.0786324579431475E-3</v>
      </c>
      <c r="V207" s="286">
        <f t="shared" ref="V207:W207" si="133">ABS(V137 + V172)*(1-V81)*PowerFactor*$H22</f>
        <v>7.8463155690783621E-3</v>
      </c>
      <c r="W207" s="286">
        <f t="shared" si="133"/>
        <v>7.8463155690783621E-3</v>
      </c>
      <c r="X207" s="286">
        <f t="shared" ref="X207:Y207" si="134">ABS(X137 + X172)*(1-X81)*PowerFactor*$H22</f>
        <v>7.7638805439973107E-3</v>
      </c>
      <c r="Y207" s="286">
        <f t="shared" si="134"/>
        <v>7.7638805439973107E-3</v>
      </c>
      <c r="Z207" s="269"/>
      <c r="AA207" s="269"/>
    </row>
    <row r="208" spans="4:27" x14ac:dyDescent="0.25">
      <c r="F208" t="s">
        <v>191</v>
      </c>
      <c r="G208" t="s">
        <v>272</v>
      </c>
      <c r="H208" s="269"/>
      <c r="I208" s="269"/>
      <c r="J208" s="287">
        <f t="shared" ref="J208:K208" si="135">ABS(J138 + J173)*(1-J81)*PowerFactor*$H22</f>
        <v>0</v>
      </c>
      <c r="K208" s="287">
        <f t="shared" si="135"/>
        <v>0</v>
      </c>
      <c r="L208" s="287">
        <f t="shared" ref="L208:M208" si="136">ABS(L138 + L173)*(1-L81)*PowerFactor*$H22</f>
        <v>0</v>
      </c>
      <c r="M208" s="287">
        <f t="shared" si="136"/>
        <v>0</v>
      </c>
      <c r="N208" s="287">
        <f t="shared" ref="N208:P208" si="137">ABS(N138 + N173)*(1-N81)*PowerFactor*$H22</f>
        <v>0</v>
      </c>
      <c r="O208" s="287">
        <f t="shared" si="137"/>
        <v>0</v>
      </c>
      <c r="P208" s="287">
        <f t="shared" si="137"/>
        <v>0</v>
      </c>
      <c r="Q208" s="287">
        <f t="shared" ref="Q208:S208" si="138">ABS(Q138 + Q173)*(1-Q81)*PowerFactor*$H22</f>
        <v>0</v>
      </c>
      <c r="R208" s="287">
        <f t="shared" si="138"/>
        <v>0</v>
      </c>
      <c r="S208" s="287">
        <f t="shared" si="138"/>
        <v>0</v>
      </c>
      <c r="T208" s="287">
        <f t="shared" ref="T208:U208" si="139">ABS(T138 + T173)*(1-T81)*PowerFactor*$H22</f>
        <v>0</v>
      </c>
      <c r="U208" s="287">
        <f t="shared" si="139"/>
        <v>0</v>
      </c>
      <c r="V208" s="287">
        <f t="shared" ref="V208:W208" si="140">ABS(V138 + V173)*(1-V81)*PowerFactor*$H22</f>
        <v>0</v>
      </c>
      <c r="W208" s="287">
        <f t="shared" si="140"/>
        <v>0</v>
      </c>
      <c r="X208" s="287">
        <f t="shared" ref="X208:Y208" si="141">ABS(X138 + X173)*(1-X81)*PowerFactor*$H22</f>
        <v>0</v>
      </c>
      <c r="Y208" s="287">
        <f t="shared" si="141"/>
        <v>0</v>
      </c>
      <c r="Z208" s="269"/>
      <c r="AA208" s="269"/>
    </row>
    <row r="209" spans="3:27" x14ac:dyDescent="0.25">
      <c r="F209" t="s">
        <v>192</v>
      </c>
      <c r="G209" t="s">
        <v>272</v>
      </c>
      <c r="H209" s="269"/>
      <c r="I209" s="269"/>
      <c r="J209" s="287">
        <f t="shared" ref="J209:K209" si="142">ABS(J139 + J174)*(1-J82)*PowerFactor*$H23</f>
        <v>1.8351218537866629E-2</v>
      </c>
      <c r="K209" s="287">
        <f t="shared" si="142"/>
        <v>0</v>
      </c>
      <c r="L209" s="287">
        <f t="shared" ref="L209:M209" si="143">ABS(L139 + L174)*(1-L82)*PowerFactor*$H23</f>
        <v>1.4594273880186184E-2</v>
      </c>
      <c r="M209" s="287">
        <f t="shared" si="143"/>
        <v>0</v>
      </c>
      <c r="N209" s="287">
        <f t="shared" ref="N209:P209" si="144">ABS(N139 + N174)*(1-N82)*PowerFactor*$H23</f>
        <v>1.2176800220026571E-2</v>
      </c>
      <c r="O209" s="287">
        <f t="shared" si="144"/>
        <v>1.1838300148495098E-2</v>
      </c>
      <c r="P209" s="287">
        <f t="shared" si="144"/>
        <v>9.2431642371904928E-3</v>
      </c>
      <c r="Q209" s="287">
        <f t="shared" ref="Q209:S209" si="145">ABS(Q139 + Q174)*(1-Q82)*PowerFactor*$H23</f>
        <v>1.6746775671505509E-2</v>
      </c>
      <c r="R209" s="287">
        <f t="shared" si="145"/>
        <v>8.7661474602254603E-3</v>
      </c>
      <c r="S209" s="287">
        <f t="shared" si="145"/>
        <v>8.5140597317774173E-3</v>
      </c>
      <c r="T209" s="287">
        <f t="shared" ref="T209:U209" si="146">ABS(T139 + T174)*(1-T82)*PowerFactor*$H23</f>
        <v>8.7661474602254603E-3</v>
      </c>
      <c r="U209" s="287">
        <f t="shared" si="146"/>
        <v>8.7661474602254603E-3</v>
      </c>
      <c r="V209" s="287">
        <f t="shared" ref="V209:W209" si="147">ABS(V139 + V174)*(1-V82)*PowerFactor*$H23</f>
        <v>8.5140597317774173E-3</v>
      </c>
      <c r="W209" s="287">
        <f t="shared" si="147"/>
        <v>8.5140597317774173E-3</v>
      </c>
      <c r="X209" s="287">
        <f t="shared" ref="X209:Y209" si="148">ABS(X139 + X174)*(1-X82)*PowerFactor*$H23</f>
        <v>8.4246092474894001E-3</v>
      </c>
      <c r="Y209" s="287">
        <f t="shared" si="148"/>
        <v>8.4246092474894001E-3</v>
      </c>
      <c r="Z209" s="269"/>
      <c r="AA209" s="269"/>
    </row>
    <row r="210" spans="3:27" x14ac:dyDescent="0.25">
      <c r="F210" t="s">
        <v>193</v>
      </c>
      <c r="G210" t="s">
        <v>272</v>
      </c>
      <c r="H210" s="269"/>
      <c r="I210" s="269"/>
      <c r="J210" s="287">
        <f t="shared" ref="J210:K210" si="149">ABS(J140 + J175)*(1-J83)*PowerFactor*$H24</f>
        <v>9.5883404513909185E-3</v>
      </c>
      <c r="K210" s="287">
        <f t="shared" si="149"/>
        <v>0</v>
      </c>
      <c r="L210" s="287">
        <f t="shared" ref="L210:M210" si="150">ABS(L140 + L175)*(1-L83)*PowerFactor*$H24</f>
        <v>7.6253719236856086E-3</v>
      </c>
      <c r="M210" s="287">
        <f t="shared" si="150"/>
        <v>0</v>
      </c>
      <c r="N210" s="287">
        <f t="shared" ref="N210:P210" si="151">ABS(N140 + N175)*(1-N83)*PowerFactor*$H24</f>
        <v>6.3622644936230863E-3</v>
      </c>
      <c r="O210" s="287">
        <f t="shared" si="151"/>
        <v>6.1854013647814387E-3</v>
      </c>
      <c r="P210" s="287">
        <f t="shared" si="151"/>
        <v>4.9030563951466075E-3</v>
      </c>
      <c r="Q210" s="287">
        <f t="shared" ref="Q210:S210" si="152">ABS(Q140 + Q175)*(1-Q83)*PowerFactor*$H24</f>
        <v>8.7500340247232775E-3</v>
      </c>
      <c r="R210" s="287">
        <f t="shared" si="152"/>
        <v>4.5802302513208949E-3</v>
      </c>
      <c r="S210" s="287">
        <f t="shared" si="152"/>
        <v>4.4485167654294781E-3</v>
      </c>
      <c r="T210" s="287">
        <f t="shared" ref="T210:U210" si="153">ABS(T140 + T175)*(1-T83)*PowerFactor*$H24</f>
        <v>4.5802302513208949E-3</v>
      </c>
      <c r="U210" s="287">
        <f t="shared" si="153"/>
        <v>4.5802302513208949E-3</v>
      </c>
      <c r="V210" s="287">
        <f t="shared" ref="V210:W210" si="154">ABS(V140 + V175)*(1-V83)*PowerFactor*$H24</f>
        <v>4.4485167654294781E-3</v>
      </c>
      <c r="W210" s="287">
        <f t="shared" si="154"/>
        <v>4.4485167654294781E-3</v>
      </c>
      <c r="X210" s="287">
        <f t="shared" ref="X210:Y210" si="155">ABS(X140 + X175)*(1-X83)*PowerFactor*$H24</f>
        <v>4.4017797220486524E-3</v>
      </c>
      <c r="Y210" s="287">
        <f t="shared" si="155"/>
        <v>4.4017797220486524E-3</v>
      </c>
      <c r="Z210" s="269"/>
      <c r="AA210" s="269"/>
    </row>
    <row r="211" spans="3:27" x14ac:dyDescent="0.25">
      <c r="F211" t="s">
        <v>194</v>
      </c>
      <c r="G211" t="s">
        <v>272</v>
      </c>
      <c r="H211" s="269"/>
      <c r="I211" s="269"/>
      <c r="J211" s="287">
        <f t="shared" ref="J211:K211" si="156">ABS(J141 + J176)*(1-J84)*PowerFactor*$H25</f>
        <v>1.1845096410522648E-2</v>
      </c>
      <c r="K211" s="287">
        <f t="shared" si="156"/>
        <v>0</v>
      </c>
      <c r="L211" s="287">
        <f t="shared" ref="L211:M211" si="157">ABS(L141 + L176)*(1-L84)*PowerFactor*$H25</f>
        <v>9.4201145714476568E-3</v>
      </c>
      <c r="M211" s="287">
        <f t="shared" si="157"/>
        <v>0</v>
      </c>
      <c r="N211" s="287">
        <f t="shared" ref="N211:P211" si="158">ABS(N141 + N176)*(1-N84)*PowerFactor*$H25</f>
        <v>7.8597163605385219E-3</v>
      </c>
      <c r="O211" s="287">
        <f t="shared" si="158"/>
        <v>7.6412259113083714E-3</v>
      </c>
      <c r="P211" s="287">
        <f t="shared" si="158"/>
        <v>4.8456498599455814E-3</v>
      </c>
      <c r="Q211" s="287">
        <f t="shared" ref="Q211:S211" si="159">ABS(Q141 + Q176)*(1-Q84)*PowerFactor*$H25</f>
        <v>1.0809482323207E-2</v>
      </c>
      <c r="R211" s="287">
        <f t="shared" si="159"/>
        <v>5.6582543334095133E-3</v>
      </c>
      <c r="S211" s="287">
        <f t="shared" si="159"/>
        <v>5.4955401549905006E-3</v>
      </c>
      <c r="T211" s="287">
        <f t="shared" ref="T211:U211" si="160">ABS(T141 + T176)*(1-T84)*PowerFactor*$H25</f>
        <v>5.6582543334095133E-3</v>
      </c>
      <c r="U211" s="287">
        <f t="shared" si="160"/>
        <v>5.6582543334095133E-3</v>
      </c>
      <c r="V211" s="287">
        <f t="shared" ref="V211:W211" si="161">ABS(V141 + V176)*(1-V84)*PowerFactor*$H25</f>
        <v>5.4955401549905006E-3</v>
      </c>
      <c r="W211" s="287">
        <f t="shared" si="161"/>
        <v>5.4955401549905006E-3</v>
      </c>
      <c r="X211" s="287">
        <f t="shared" ref="X211:Y211" si="162">ABS(X141 + X176)*(1-X84)*PowerFactor*$H25</f>
        <v>5.4378028658740758E-3</v>
      </c>
      <c r="Y211" s="287">
        <f t="shared" si="162"/>
        <v>5.4378028658740758E-3</v>
      </c>
      <c r="Z211" s="269"/>
      <c r="AA211" s="269"/>
    </row>
    <row r="212" spans="3:27" x14ac:dyDescent="0.25">
      <c r="F212" t="s">
        <v>195</v>
      </c>
      <c r="G212" t="s">
        <v>272</v>
      </c>
      <c r="H212" s="269"/>
      <c r="I212" s="269"/>
      <c r="J212" s="287">
        <f t="shared" ref="J212:K212" si="163">ABS(J142 + J177)*(1-J85)*PowerFactor*$H26</f>
        <v>1.9055376971645339E-2</v>
      </c>
      <c r="K212" s="287">
        <f t="shared" si="163"/>
        <v>0</v>
      </c>
      <c r="L212" s="287">
        <f t="shared" ref="L212:M212" si="164">ABS(L142 + L177)*(1-L85)*PowerFactor*$H26</f>
        <v>1.5154273806970563E-2</v>
      </c>
      <c r="M212" s="287">
        <f t="shared" si="164"/>
        <v>0</v>
      </c>
      <c r="N212" s="287">
        <f t="shared" ref="N212:P212" si="165">ABS(N142 + N177)*(1-N85)*PowerFactor*$H26</f>
        <v>1.2644038760817608E-2</v>
      </c>
      <c r="O212" s="287">
        <f t="shared" si="165"/>
        <v>1.2292550032445074E-2</v>
      </c>
      <c r="P212" s="287">
        <f t="shared" si="165"/>
        <v>0</v>
      </c>
      <c r="Q212" s="287">
        <f t="shared" ref="Q212:S212" si="166">ABS(Q142 + Q177)*(1-Q85)*PowerFactor*$H26</f>
        <v>1.7389369693442413E-2</v>
      </c>
      <c r="R212" s="287">
        <f t="shared" si="166"/>
        <v>9.1025151326570471E-3</v>
      </c>
      <c r="S212" s="287">
        <f t="shared" si="166"/>
        <v>8.8407544934062388E-3</v>
      </c>
      <c r="T212" s="287">
        <f t="shared" ref="T212:U212" si="167">ABS(T142 + T177)*(1-T85)*PowerFactor*$H26</f>
        <v>9.1025151326570471E-3</v>
      </c>
      <c r="U212" s="287">
        <f t="shared" si="167"/>
        <v>9.1025151326570471E-3</v>
      </c>
      <c r="V212" s="287">
        <f t="shared" ref="V212:W212" si="168">ABS(V142 + V177)*(1-V85)*PowerFactor*$H26</f>
        <v>8.8407544934062388E-3</v>
      </c>
      <c r="W212" s="287">
        <f t="shared" si="168"/>
        <v>8.8407544934062388E-3</v>
      </c>
      <c r="X212" s="287">
        <f t="shared" ref="X212:Y212" si="169">ABS(X142 + X177)*(1-X85)*PowerFactor*$H26</f>
        <v>8.7478716859301486E-3</v>
      </c>
      <c r="Y212" s="287">
        <f t="shared" si="169"/>
        <v>8.7478716859301486E-3</v>
      </c>
      <c r="Z212" s="269"/>
      <c r="AA212" s="269"/>
    </row>
    <row r="213" spans="3:27" x14ac:dyDescent="0.25">
      <c r="F213" t="s">
        <v>196</v>
      </c>
      <c r="G213" t="s">
        <v>272</v>
      </c>
      <c r="H213" s="269"/>
      <c r="I213" s="269"/>
      <c r="J213" s="287">
        <f t="shared" ref="J213:K213" si="170">ABS(J143 + J178)*(1-J86)*PowerFactor*$H27</f>
        <v>1.6045962983005861E-3</v>
      </c>
      <c r="K213" s="287">
        <f t="shared" si="170"/>
        <v>0</v>
      </c>
      <c r="L213" s="287">
        <f t="shared" ref="L213:M213" si="171">ABS(L143 + L178)*(1-L86)*PowerFactor*$H27</f>
        <v>1.2760960693814541E-3</v>
      </c>
      <c r="M213" s="287">
        <f t="shared" si="171"/>
        <v>0</v>
      </c>
      <c r="N213" s="287">
        <f t="shared" ref="N213:P213" si="172">ABS(N143 + N178)*(1-N86)*PowerFactor*$H27</f>
        <v>1.0647166845015317E-3</v>
      </c>
      <c r="O213" s="287">
        <f t="shared" si="172"/>
        <v>1.0351188700221758E-3</v>
      </c>
      <c r="P213" s="287">
        <f t="shared" si="172"/>
        <v>0</v>
      </c>
      <c r="Q213" s="287">
        <f t="shared" ref="Q213:S213" si="173">ABS(Q143 + Q178)*(1-Q86)*PowerFactor*$H27</f>
        <v>1.4643068085925569E-3</v>
      </c>
      <c r="R213" s="287">
        <f t="shared" si="173"/>
        <v>7.6649557281497434E-4</v>
      </c>
      <c r="S213" s="287">
        <f t="shared" si="173"/>
        <v>7.4445349233513724E-4</v>
      </c>
      <c r="T213" s="287">
        <f t="shared" ref="T213:U213" si="174">ABS(T143 + T178)*(1-T86)*PowerFactor*$H27</f>
        <v>7.6649557281497434E-4</v>
      </c>
      <c r="U213" s="287">
        <f t="shared" si="174"/>
        <v>7.6649557281497434E-4</v>
      </c>
      <c r="V213" s="287">
        <f t="shared" ref="V213:W213" si="175">ABS(V143 + V178)*(1-V86)*PowerFactor*$H27</f>
        <v>7.4445349233513724E-4</v>
      </c>
      <c r="W213" s="287">
        <f t="shared" si="175"/>
        <v>7.4445349233513724E-4</v>
      </c>
      <c r="X213" s="287">
        <f t="shared" ref="X213:Y213" si="176">ABS(X143 + X178)*(1-X86)*PowerFactor*$H27</f>
        <v>7.3663210893906619E-4</v>
      </c>
      <c r="Y213" s="287">
        <f t="shared" si="176"/>
        <v>7.3663210893906619E-4</v>
      </c>
      <c r="Z213" s="269"/>
      <c r="AA213" s="269"/>
    </row>
    <row r="214" spans="3:27" x14ac:dyDescent="0.25">
      <c r="F214" t="s">
        <v>197</v>
      </c>
      <c r="G214" t="s">
        <v>272</v>
      </c>
      <c r="H214" s="269"/>
      <c r="I214" s="269"/>
      <c r="J214" s="287">
        <f t="shared" ref="J214:K214" si="177">ABS(J144 + J179)*(1-J87)*PowerFactor*$H28</f>
        <v>4.3900326073435872E-2</v>
      </c>
      <c r="K214" s="287">
        <f t="shared" si="177"/>
        <v>0</v>
      </c>
      <c r="L214" s="287">
        <f t="shared" ref="L214:M214" si="178">ABS(L144 + L179)*(1-L87)*PowerFactor*$H28</f>
        <v>3.4912852289517973E-2</v>
      </c>
      <c r="M214" s="287">
        <f t="shared" si="178"/>
        <v>0</v>
      </c>
      <c r="N214" s="287">
        <f t="shared" ref="N214:P214" si="179">ABS(N144 + N179)*(1-N87)*PowerFactor*$H28</f>
        <v>2.3303760416223417E-2</v>
      </c>
      <c r="O214" s="287">
        <f t="shared" si="179"/>
        <v>0</v>
      </c>
      <c r="P214" s="287">
        <f t="shared" si="179"/>
        <v>0</v>
      </c>
      <c r="Q214" s="287">
        <f t="shared" ref="Q214:S214" si="180">ABS(Q144 + Q179)*(1-Q87)*PowerFactor*$H28</f>
        <v>4.0062130541400127E-2</v>
      </c>
      <c r="R214" s="287">
        <f t="shared" si="180"/>
        <v>2.0970636424912717E-2</v>
      </c>
      <c r="S214" s="287">
        <f t="shared" si="180"/>
        <v>2.0367584728092403E-2</v>
      </c>
      <c r="T214" s="287">
        <f t="shared" ref="T214:U214" si="181">ABS(T144 + T179)*(1-T87)*PowerFactor*$H28</f>
        <v>2.0970636424912717E-2</v>
      </c>
      <c r="U214" s="287">
        <f t="shared" si="181"/>
        <v>2.0970636424912717E-2</v>
      </c>
      <c r="V214" s="287">
        <f t="shared" ref="V214:W214" si="182">ABS(V144 + V179)*(1-V87)*PowerFactor*$H28</f>
        <v>2.0367584728092403E-2</v>
      </c>
      <c r="W214" s="287">
        <f t="shared" si="182"/>
        <v>2.0367584728092403E-2</v>
      </c>
      <c r="X214" s="287">
        <f t="shared" ref="X214:Y214" si="183">ABS(X144 + X179)*(1-X87)*PowerFactor*$H28</f>
        <v>2.0153598642123908E-2</v>
      </c>
      <c r="Y214" s="287">
        <f t="shared" si="183"/>
        <v>2.0153598642123908E-2</v>
      </c>
      <c r="Z214" s="269"/>
      <c r="AA214" s="269"/>
    </row>
    <row r="215" spans="3:27" x14ac:dyDescent="0.25">
      <c r="F215" t="s">
        <v>198</v>
      </c>
      <c r="G215" t="s">
        <v>272</v>
      </c>
      <c r="H215" s="269"/>
      <c r="I215" s="269"/>
      <c r="J215" s="287">
        <f t="shared" ref="J215:K215" si="184">ABS(J145 + J180)*(1-J88)*PowerFactor*$H29</f>
        <v>2.0095468275324317E-2</v>
      </c>
      <c r="K215" s="287">
        <f t="shared" si="184"/>
        <v>0</v>
      </c>
      <c r="L215" s="287">
        <f t="shared" ref="L215:M215" si="185">ABS(L145 + L180)*(1-L88)*PowerFactor*$H29</f>
        <v>1.5981432903516064E-2</v>
      </c>
      <c r="M215" s="287">
        <f t="shared" si="185"/>
        <v>0</v>
      </c>
      <c r="N215" s="287">
        <f t="shared" ref="N215:P215" si="186">ABS(N145 + N180)*(1-N88)*PowerFactor*$H29</f>
        <v>0</v>
      </c>
      <c r="O215" s="287">
        <f t="shared" si="186"/>
        <v>0</v>
      </c>
      <c r="P215" s="287">
        <f t="shared" si="186"/>
        <v>0</v>
      </c>
      <c r="Q215" s="287">
        <f t="shared" ref="Q215:S215" si="187">ABS(Q145 + Q180)*(1-Q88)*PowerFactor*$H29</f>
        <v>1.8338526050806592E-2</v>
      </c>
      <c r="R215" s="287">
        <f t="shared" si="187"/>
        <v>9.5993537333927108E-3</v>
      </c>
      <c r="S215" s="287">
        <f t="shared" si="187"/>
        <v>9.3233055277014542E-3</v>
      </c>
      <c r="T215" s="287">
        <f t="shared" ref="T215:U215" si="188">ABS(T145 + T180)*(1-T88)*PowerFactor*$H29</f>
        <v>9.5993537333927108E-3</v>
      </c>
      <c r="U215" s="287">
        <f t="shared" si="188"/>
        <v>9.5993537333927108E-3</v>
      </c>
      <c r="V215" s="287">
        <f t="shared" ref="V215:W215" si="189">ABS(V145 + V180)*(1-V88)*PowerFactor*$H29</f>
        <v>9.3233055277014542E-3</v>
      </c>
      <c r="W215" s="287">
        <f t="shared" si="189"/>
        <v>9.3233055277014542E-3</v>
      </c>
      <c r="X215" s="287">
        <f t="shared" ref="X215:Y215" si="190">ABS(X145 + X180)*(1-X88)*PowerFactor*$H29</f>
        <v>0</v>
      </c>
      <c r="Y215" s="287">
        <f t="shared" si="190"/>
        <v>0</v>
      </c>
      <c r="Z215" s="269"/>
      <c r="AA215" s="269"/>
    </row>
    <row r="216" spans="3:27" x14ac:dyDescent="0.25">
      <c r="F216" t="s">
        <v>199</v>
      </c>
      <c r="G216" t="s">
        <v>272</v>
      </c>
      <c r="H216" s="269"/>
      <c r="I216" s="269"/>
      <c r="J216" s="287">
        <f t="shared" ref="J216:K216" si="191">ABS(J146 + J181)*(1-J89)*PowerFactor*$H30</f>
        <v>0</v>
      </c>
      <c r="K216" s="287">
        <f t="shared" si="191"/>
        <v>0</v>
      </c>
      <c r="L216" s="287">
        <f t="shared" ref="L216:M216" si="192">ABS(L146 + L181)*(1-L89)*PowerFactor*$H30</f>
        <v>0</v>
      </c>
      <c r="M216" s="287">
        <f t="shared" si="192"/>
        <v>0</v>
      </c>
      <c r="N216" s="287">
        <f t="shared" ref="N216:P216" si="193">ABS(N146 + N181)*(1-N89)*PowerFactor*$H30</f>
        <v>0</v>
      </c>
      <c r="O216" s="287">
        <f t="shared" si="193"/>
        <v>0</v>
      </c>
      <c r="P216" s="287">
        <f t="shared" si="193"/>
        <v>0</v>
      </c>
      <c r="Q216" s="287">
        <f t="shared" ref="Q216:S216" si="194">ABS(Q146 + Q181)*(1-Q89)*PowerFactor*$H30</f>
        <v>3.655247100093742E-2</v>
      </c>
      <c r="R216" s="287">
        <f t="shared" si="194"/>
        <v>1.9133495134530977E-2</v>
      </c>
      <c r="S216" s="287">
        <f t="shared" si="194"/>
        <v>0</v>
      </c>
      <c r="T216" s="287">
        <f t="shared" ref="T216:U216" si="195">ABS(T146 + T181)*(1-T89)*PowerFactor*$H30</f>
        <v>1.9133495134530977E-2</v>
      </c>
      <c r="U216" s="287">
        <f t="shared" si="195"/>
        <v>1.9133495134530977E-2</v>
      </c>
      <c r="V216" s="287">
        <f t="shared" ref="V216:W216" si="196">ABS(V146 + V181)*(1-V89)*PowerFactor*$H30</f>
        <v>0</v>
      </c>
      <c r="W216" s="287">
        <f t="shared" si="196"/>
        <v>0</v>
      </c>
      <c r="X216" s="287">
        <f t="shared" ref="X216:Y216" si="197">ABS(X146 + X181)*(1-X89)*PowerFactor*$H30</f>
        <v>0</v>
      </c>
      <c r="Y216" s="287">
        <f t="shared" si="197"/>
        <v>0</v>
      </c>
      <c r="Z216" s="269"/>
      <c r="AA216" s="269"/>
    </row>
    <row r="217" spans="3:27" x14ac:dyDescent="0.25">
      <c r="F217" t="s">
        <v>376</v>
      </c>
      <c r="G217" t="s">
        <v>272</v>
      </c>
      <c r="H217" s="269"/>
      <c r="I217" s="269"/>
      <c r="J217" s="270"/>
      <c r="K217" s="270"/>
      <c r="L217" s="270"/>
      <c r="M217" s="270"/>
      <c r="N217" s="270"/>
      <c r="O217" s="270"/>
      <c r="P217" s="270"/>
      <c r="Q217" s="270"/>
      <c r="R217" s="270"/>
      <c r="S217" s="270"/>
      <c r="T217" s="270"/>
      <c r="U217" s="270"/>
      <c r="V217" s="270"/>
      <c r="W217" s="270"/>
      <c r="X217" s="270"/>
      <c r="Y217" s="270"/>
      <c r="Z217" s="269"/>
      <c r="AA217" s="269"/>
    </row>
    <row r="218" spans="3:27" x14ac:dyDescent="0.25">
      <c r="F218" s="37" t="s">
        <v>377</v>
      </c>
      <c r="G218" s="37" t="s">
        <v>272</v>
      </c>
      <c r="H218" s="273"/>
      <c r="I218" s="273"/>
      <c r="J218" s="274"/>
      <c r="K218" s="274"/>
      <c r="L218" s="274"/>
      <c r="M218" s="274"/>
      <c r="N218" s="274"/>
      <c r="O218" s="274"/>
      <c r="P218" s="274"/>
      <c r="Q218" s="274"/>
      <c r="R218" s="274"/>
      <c r="S218" s="274"/>
      <c r="T218" s="274"/>
      <c r="U218" s="274"/>
      <c r="V218" s="274"/>
      <c r="W218" s="274"/>
      <c r="X218" s="274"/>
      <c r="Y218" s="274"/>
      <c r="Z218" s="269"/>
      <c r="AA218" s="269"/>
    </row>
    <row r="219" spans="3:27" x14ac:dyDescent="0.25">
      <c r="J219" s="89"/>
      <c r="K219" s="89"/>
      <c r="L219" s="89"/>
      <c r="M219" s="89"/>
      <c r="N219" s="89"/>
      <c r="O219" s="89"/>
      <c r="P219" s="89"/>
      <c r="Q219" s="89"/>
      <c r="R219" s="89"/>
      <c r="S219" s="89"/>
      <c r="T219" s="89"/>
      <c r="U219" s="89"/>
      <c r="V219" s="89"/>
      <c r="W219" s="89"/>
      <c r="X219" s="89"/>
      <c r="Y219" s="89"/>
    </row>
    <row r="220" spans="3:27" x14ac:dyDescent="0.25">
      <c r="C220" s="31" t="str">
        <f ca="1">INDEX('Version control'!$H$34:$H$57,MATCH($A$1,'Version control'!$F$34:$F$57,0),1)&amp;"-E: Reactive power charges for applicable customers"</f>
        <v>Section 112-E: Reactive power charges for applicable customers</v>
      </c>
      <c r="D220" s="31"/>
      <c r="E220" s="31"/>
      <c r="F220" s="31"/>
      <c r="G220" s="31"/>
      <c r="H220" s="31"/>
      <c r="I220" s="31"/>
      <c r="J220" s="90"/>
      <c r="K220" s="90"/>
      <c r="L220" s="90"/>
      <c r="M220" s="90"/>
      <c r="N220" s="90"/>
      <c r="O220" s="90"/>
      <c r="P220" s="90"/>
      <c r="Q220" s="90"/>
      <c r="R220" s="90"/>
      <c r="S220" s="90"/>
      <c r="T220" s="90"/>
      <c r="U220" s="90"/>
      <c r="V220" s="90"/>
      <c r="W220" s="90"/>
      <c r="X220" s="90"/>
      <c r="Y220" s="90"/>
      <c r="Z220" s="31"/>
      <c r="AA220" s="31"/>
    </row>
    <row r="221" spans="3:27" x14ac:dyDescent="0.25">
      <c r="D221" s="32"/>
      <c r="E221" s="32"/>
      <c r="J221" s="89"/>
      <c r="K221" s="89"/>
      <c r="L221" s="89"/>
      <c r="M221" s="89"/>
      <c r="N221" s="89"/>
      <c r="O221" s="89"/>
      <c r="P221" s="89"/>
      <c r="Q221" s="89"/>
      <c r="R221" s="89"/>
      <c r="S221" s="89"/>
      <c r="T221" s="89"/>
      <c r="U221" s="89"/>
      <c r="V221" s="89"/>
      <c r="W221" s="89"/>
      <c r="X221" s="89"/>
      <c r="Y221" s="89"/>
    </row>
    <row r="222" spans="3:27" x14ac:dyDescent="0.25">
      <c r="D222"/>
      <c r="E222" s="32" t="s">
        <v>621</v>
      </c>
      <c r="J222" s="89"/>
      <c r="K222" s="89"/>
      <c r="L222" s="89"/>
      <c r="M222" s="89"/>
      <c r="N222" s="89"/>
      <c r="O222" s="89"/>
      <c r="P222" s="89"/>
      <c r="Q222" s="89"/>
      <c r="R222" s="89"/>
      <c r="S222" s="89"/>
      <c r="T222" s="89"/>
      <c r="U222" s="89"/>
      <c r="V222" s="89"/>
      <c r="W222" s="89"/>
      <c r="X222" s="89"/>
      <c r="Y222" s="89"/>
    </row>
    <row r="223" spans="3:27" x14ac:dyDescent="0.25">
      <c r="D223"/>
      <c r="F223" s="23" t="s">
        <v>189</v>
      </c>
      <c r="G223" s="23" t="s">
        <v>272</v>
      </c>
      <c r="H223" s="267"/>
      <c r="I223" s="267"/>
      <c r="J223" s="285"/>
      <c r="K223" s="285"/>
      <c r="L223" s="285"/>
      <c r="M223" s="285"/>
      <c r="N223" s="285"/>
      <c r="O223" s="285"/>
      <c r="P223" s="285"/>
      <c r="Q223" s="285"/>
      <c r="R223" s="285"/>
      <c r="S223" s="285"/>
      <c r="T223" s="285"/>
      <c r="U223" s="285"/>
      <c r="V223" s="285"/>
      <c r="W223" s="285"/>
      <c r="X223" s="285"/>
      <c r="Y223" s="285"/>
      <c r="Z223" s="269"/>
      <c r="AA223" s="269"/>
    </row>
    <row r="224" spans="3:27" x14ac:dyDescent="0.25">
      <c r="D224"/>
      <c r="F224" t="s">
        <v>191</v>
      </c>
      <c r="G224" t="s">
        <v>272</v>
      </c>
      <c r="H224" s="269"/>
      <c r="I224" s="269"/>
      <c r="J224" s="270"/>
      <c r="K224" s="270"/>
      <c r="L224" s="270"/>
      <c r="M224" s="270"/>
      <c r="N224" s="270"/>
      <c r="O224" s="270"/>
      <c r="P224" s="270"/>
      <c r="Q224" s="270"/>
      <c r="R224" s="270"/>
      <c r="S224" s="270"/>
      <c r="T224" s="270"/>
      <c r="U224" s="270"/>
      <c r="V224" s="270"/>
      <c r="W224" s="270"/>
      <c r="X224" s="270"/>
      <c r="Y224" s="270"/>
      <c r="Z224" s="269"/>
      <c r="AA224" s="269"/>
    </row>
    <row r="225" spans="5:27" customFormat="1" x14ac:dyDescent="0.25">
      <c r="E225" s="2"/>
      <c r="F225" t="s">
        <v>192</v>
      </c>
      <c r="G225" t="s">
        <v>272</v>
      </c>
      <c r="H225" s="269"/>
      <c r="I225" s="269"/>
      <c r="J225" s="287">
        <f t="shared" ref="J225:K225" si="198">J$78 * J195</f>
        <v>0</v>
      </c>
      <c r="K225" s="287">
        <f t="shared" si="198"/>
        <v>0</v>
      </c>
      <c r="L225" s="287">
        <f t="shared" ref="L225:M225" si="199">L$78 * L195</f>
        <v>0</v>
      </c>
      <c r="M225" s="287">
        <f t="shared" si="199"/>
        <v>0</v>
      </c>
      <c r="N225" s="287">
        <f t="shared" ref="N225:P225" si="200">N$78 * N195</f>
        <v>1.9179046164546406E-2</v>
      </c>
      <c r="O225" s="287">
        <f t="shared" si="200"/>
        <v>1.8645892266864222E-2</v>
      </c>
      <c r="P225" s="287">
        <f t="shared" si="200"/>
        <v>1.4558428356244643E-2</v>
      </c>
      <c r="Q225" s="287">
        <f t="shared" ref="Q225:S225" si="201">Q$78 * Q195</f>
        <v>0</v>
      </c>
      <c r="R225" s="287">
        <f t="shared" si="201"/>
        <v>0</v>
      </c>
      <c r="S225" s="287">
        <f t="shared" si="201"/>
        <v>0</v>
      </c>
      <c r="T225" s="287">
        <f t="shared" ref="T225:U225" si="202">T$78 * T195</f>
        <v>1.3807103983555247E-2</v>
      </c>
      <c r="U225" s="287">
        <f t="shared" si="202"/>
        <v>0</v>
      </c>
      <c r="V225" s="287">
        <f t="shared" ref="V225:W225" si="203">V$78 * V195</f>
        <v>1.3410053683471561E-2</v>
      </c>
      <c r="W225" s="287">
        <f t="shared" si="203"/>
        <v>0</v>
      </c>
      <c r="X225" s="287">
        <f t="shared" ref="X225:Y225" si="204">X$78 * X195</f>
        <v>1.3269164867312838E-2</v>
      </c>
      <c r="Y225" s="287">
        <f t="shared" si="204"/>
        <v>0</v>
      </c>
      <c r="Z225" s="269"/>
      <c r="AA225" s="269"/>
    </row>
    <row r="226" spans="5:27" customFormat="1" x14ac:dyDescent="0.25">
      <c r="E226" s="2"/>
      <c r="F226" t="s">
        <v>193</v>
      </c>
      <c r="G226" t="s">
        <v>272</v>
      </c>
      <c r="H226" s="269"/>
      <c r="I226" s="269"/>
      <c r="J226" s="287">
        <f t="shared" ref="J226:K226" si="205">J$78 * J196</f>
        <v>0</v>
      </c>
      <c r="K226" s="287">
        <f t="shared" si="205"/>
        <v>0</v>
      </c>
      <c r="L226" s="287">
        <f t="shared" ref="L226:M226" si="206">L$78 * L196</f>
        <v>0</v>
      </c>
      <c r="M226" s="287">
        <f t="shared" si="206"/>
        <v>0</v>
      </c>
      <c r="N226" s="287">
        <f t="shared" ref="N226:P226" si="207">N$78 * N196</f>
        <v>1.0020872661897494E-2</v>
      </c>
      <c r="O226" s="287">
        <f t="shared" si="207"/>
        <v>9.7423047252008441E-3</v>
      </c>
      <c r="P226" s="287">
        <f t="shared" si="207"/>
        <v>7.72254970523661E-3</v>
      </c>
      <c r="Q226" s="287">
        <f t="shared" ref="Q226:S226" si="208">Q$78 * Q196</f>
        <v>0</v>
      </c>
      <c r="R226" s="287">
        <f t="shared" si="208"/>
        <v>0</v>
      </c>
      <c r="S226" s="287">
        <f t="shared" si="208"/>
        <v>0</v>
      </c>
      <c r="T226" s="287">
        <f t="shared" ref="T226:U226" si="209">T$78 * T196</f>
        <v>7.2140829977535579E-3</v>
      </c>
      <c r="U226" s="287">
        <f t="shared" si="209"/>
        <v>0</v>
      </c>
      <c r="V226" s="287">
        <f t="shared" ref="V226:W226" si="210">V$78 * V196</f>
        <v>7.0066279208237225E-3</v>
      </c>
      <c r="W226" s="287">
        <f t="shared" si="210"/>
        <v>0</v>
      </c>
      <c r="X226" s="287">
        <f t="shared" ref="X226:Y226" si="211">X$78 * X196</f>
        <v>6.9330148290099114E-3</v>
      </c>
      <c r="Y226" s="287">
        <f t="shared" si="211"/>
        <v>0</v>
      </c>
      <c r="Z226" s="269"/>
      <c r="AA226" s="269"/>
    </row>
    <row r="227" spans="5:27" customFormat="1" x14ac:dyDescent="0.25">
      <c r="E227" s="2"/>
      <c r="F227" t="s">
        <v>194</v>
      </c>
      <c r="G227" t="s">
        <v>272</v>
      </c>
      <c r="H227" s="269"/>
      <c r="I227" s="269"/>
      <c r="J227" s="287">
        <f t="shared" ref="J227:K227" si="212">J$78 * J197</f>
        <v>0</v>
      </c>
      <c r="K227" s="287">
        <f t="shared" si="212"/>
        <v>0</v>
      </c>
      <c r="L227" s="287">
        <f t="shared" ref="L227:M227" si="213">L$78 * L197</f>
        <v>0</v>
      </c>
      <c r="M227" s="287">
        <f t="shared" si="213"/>
        <v>0</v>
      </c>
      <c r="N227" s="287">
        <f t="shared" ref="N227:P227" si="214">N$78 * N197</f>
        <v>1.2379431393732765E-2</v>
      </c>
      <c r="O227" s="287">
        <f t="shared" si="214"/>
        <v>1.203529842476069E-2</v>
      </c>
      <c r="P227" s="287">
        <f t="shared" si="214"/>
        <v>7.1328372196578383E-3</v>
      </c>
      <c r="Q227" s="287">
        <f t="shared" ref="Q227:S227" si="215">Q$78 * Q197</f>
        <v>0</v>
      </c>
      <c r="R227" s="287">
        <f t="shared" si="215"/>
        <v>0</v>
      </c>
      <c r="S227" s="287">
        <f t="shared" si="215"/>
        <v>0</v>
      </c>
      <c r="T227" s="287">
        <f t="shared" ref="T227:U227" si="216">T$78 * T197</f>
        <v>8.9120227900863908E-3</v>
      </c>
      <c r="U227" s="287">
        <f t="shared" si="216"/>
        <v>0</v>
      </c>
      <c r="V227" s="287">
        <f t="shared" ref="V227:W227" si="217">V$78 * V197</f>
        <v>8.6557401310022718E-3</v>
      </c>
      <c r="W227" s="287">
        <f t="shared" si="217"/>
        <v>0</v>
      </c>
      <c r="X227" s="287">
        <f t="shared" ref="X227:Y227" si="218">X$78 * X197</f>
        <v>8.0044914089818803E-3</v>
      </c>
      <c r="Y227" s="287">
        <f t="shared" si="218"/>
        <v>0</v>
      </c>
      <c r="Z227" s="269"/>
      <c r="AA227" s="269"/>
    </row>
    <row r="228" spans="5:27" customFormat="1" x14ac:dyDescent="0.25">
      <c r="E228" s="2"/>
      <c r="F228" t="s">
        <v>195</v>
      </c>
      <c r="G228" t="s">
        <v>272</v>
      </c>
      <c r="H228" s="269"/>
      <c r="I228" s="269"/>
      <c r="J228" s="287">
        <f t="shared" ref="J228:K228" si="219">J$78 * J198</f>
        <v>0</v>
      </c>
      <c r="K228" s="287">
        <f t="shared" si="219"/>
        <v>0</v>
      </c>
      <c r="L228" s="287">
        <f t="shared" ref="L228:M228" si="220">L$78 * L198</f>
        <v>0</v>
      </c>
      <c r="M228" s="287">
        <f t="shared" si="220"/>
        <v>0</v>
      </c>
      <c r="N228" s="287">
        <f t="shared" ref="N228:P228" si="221">N$78 * N198</f>
        <v>1.9914969344837111E-2</v>
      </c>
      <c r="O228" s="287">
        <f t="shared" si="221"/>
        <v>1.9361357687754367E-2</v>
      </c>
      <c r="P228" s="287">
        <f t="shared" si="221"/>
        <v>0</v>
      </c>
      <c r="Q228" s="287">
        <f t="shared" ref="Q228:S228" si="222">Q$78 * Q198</f>
        <v>0</v>
      </c>
      <c r="R228" s="287">
        <f t="shared" si="222"/>
        <v>0</v>
      </c>
      <c r="S228" s="287">
        <f t="shared" si="222"/>
        <v>0</v>
      </c>
      <c r="T228" s="287">
        <f t="shared" ref="T228:U228" si="223">T$78 * T198</f>
        <v>1.4336899250066764E-2</v>
      </c>
      <c r="U228" s="287">
        <f t="shared" si="223"/>
        <v>0</v>
      </c>
      <c r="V228" s="287">
        <f t="shared" ref="V228:W228" si="224">V$78 * V198</f>
        <v>1.3924613650111224E-2</v>
      </c>
      <c r="W228" s="287">
        <f t="shared" si="224"/>
        <v>0</v>
      </c>
      <c r="X228" s="287">
        <f t="shared" ref="X228:Y228" si="225">X$78 * X198</f>
        <v>8.9334537304152865E-3</v>
      </c>
      <c r="Y228" s="287">
        <f t="shared" si="225"/>
        <v>0</v>
      </c>
      <c r="Z228" s="269"/>
      <c r="AA228" s="269"/>
    </row>
    <row r="229" spans="5:27" customFormat="1" x14ac:dyDescent="0.25">
      <c r="E229" s="2"/>
      <c r="F229" t="s">
        <v>196</v>
      </c>
      <c r="G229" t="s">
        <v>272</v>
      </c>
      <c r="H229" s="269"/>
      <c r="I229" s="269"/>
      <c r="J229" s="287">
        <f t="shared" ref="J229:K229" si="226">J$78 * J199</f>
        <v>0</v>
      </c>
      <c r="K229" s="287">
        <f t="shared" si="226"/>
        <v>0</v>
      </c>
      <c r="L229" s="287">
        <f t="shared" ref="L229:M229" si="227">L$78 * L199</f>
        <v>0</v>
      </c>
      <c r="M229" s="287">
        <f t="shared" si="227"/>
        <v>0</v>
      </c>
      <c r="N229" s="287">
        <f t="shared" ref="N229:P229" si="228">N$78 * N199</f>
        <v>1.6769800009228625E-3</v>
      </c>
      <c r="O229" s="287">
        <f t="shared" si="228"/>
        <v>1.630362019186113E-3</v>
      </c>
      <c r="P229" s="287">
        <f t="shared" si="228"/>
        <v>0</v>
      </c>
      <c r="Q229" s="287">
        <f t="shared" ref="Q229:S229" si="229">Q$78 * Q199</f>
        <v>0</v>
      </c>
      <c r="R229" s="287">
        <f t="shared" si="229"/>
        <v>0</v>
      </c>
      <c r="S229" s="287">
        <f t="shared" si="229"/>
        <v>0</v>
      </c>
      <c r="T229" s="287">
        <f t="shared" ref="T229:U229" si="230">T$78 * T199</f>
        <v>1.207267402791204E-3</v>
      </c>
      <c r="U229" s="287">
        <f t="shared" si="230"/>
        <v>0</v>
      </c>
      <c r="V229" s="287">
        <f t="shared" ref="V229:W229" si="231">V$78 * V199</f>
        <v>1.1725500656051856E-3</v>
      </c>
      <c r="W229" s="287">
        <f t="shared" si="231"/>
        <v>0</v>
      </c>
      <c r="X229" s="287">
        <f t="shared" ref="X229:Y229" si="232">X$78 * X199</f>
        <v>7.5225941781125578E-4</v>
      </c>
      <c r="Y229" s="287">
        <f t="shared" si="232"/>
        <v>0</v>
      </c>
      <c r="Z229" s="269"/>
      <c r="AA229" s="269"/>
    </row>
    <row r="230" spans="5:27" customFormat="1" x14ac:dyDescent="0.25">
      <c r="E230" s="2"/>
      <c r="F230" t="s">
        <v>197</v>
      </c>
      <c r="G230" t="s">
        <v>272</v>
      </c>
      <c r="H230" s="269"/>
      <c r="I230" s="269"/>
      <c r="J230" s="287">
        <f t="shared" ref="J230:K230" si="233">J$78 * J200</f>
        <v>0</v>
      </c>
      <c r="K230" s="287">
        <f t="shared" si="233"/>
        <v>0</v>
      </c>
      <c r="L230" s="287">
        <f t="shared" ref="L230:M230" si="234">L$78 * L200</f>
        <v>0</v>
      </c>
      <c r="M230" s="287">
        <f t="shared" si="234"/>
        <v>0</v>
      </c>
      <c r="N230" s="287">
        <f t="shared" ref="N230:P230" si="235">N$78 * N200</f>
        <v>1.9118166558709692E-2</v>
      </c>
      <c r="O230" s="287">
        <f t="shared" si="235"/>
        <v>0</v>
      </c>
      <c r="P230" s="287">
        <f t="shared" si="235"/>
        <v>0</v>
      </c>
      <c r="Q230" s="287">
        <f t="shared" ref="Q230:S230" si="236">Q$78 * Q200</f>
        <v>0</v>
      </c>
      <c r="R230" s="287">
        <f t="shared" si="236"/>
        <v>0</v>
      </c>
      <c r="S230" s="287">
        <f t="shared" si="236"/>
        <v>0</v>
      </c>
      <c r="T230" s="287">
        <f t="shared" ref="T230:U230" si="237">T$78 * T200</f>
        <v>1.7204095513036442E-2</v>
      </c>
      <c r="U230" s="287">
        <f t="shared" si="237"/>
        <v>0</v>
      </c>
      <c r="V230" s="287">
        <f t="shared" ref="V230:W230" si="238">V$78 * V200</f>
        <v>1.6709358072494577E-2</v>
      </c>
      <c r="W230" s="287">
        <f t="shared" si="238"/>
        <v>0</v>
      </c>
      <c r="X230" s="287">
        <f t="shared" ref="X230:Y230" si="239">X$78 * X200</f>
        <v>1.1496029629749932E-2</v>
      </c>
      <c r="Y230" s="287">
        <f t="shared" si="239"/>
        <v>0</v>
      </c>
      <c r="Z230" s="269"/>
      <c r="AA230" s="269"/>
    </row>
    <row r="231" spans="5:27" customFormat="1" x14ac:dyDescent="0.25">
      <c r="E231" s="2"/>
      <c r="F231" t="s">
        <v>198</v>
      </c>
      <c r="G231" t="s">
        <v>272</v>
      </c>
      <c r="H231" s="269"/>
      <c r="I231" s="269"/>
      <c r="J231" s="287">
        <f t="shared" ref="J231:K231" si="240">J$78 * J201</f>
        <v>0</v>
      </c>
      <c r="K231" s="287">
        <f t="shared" si="240"/>
        <v>0</v>
      </c>
      <c r="L231" s="287">
        <f t="shared" ref="L231:M231" si="241">L$78 * L201</f>
        <v>0</v>
      </c>
      <c r="M231" s="287">
        <f t="shared" si="241"/>
        <v>0</v>
      </c>
      <c r="N231" s="287">
        <f t="shared" ref="N231:P231" si="242">N$78 * N201</f>
        <v>0</v>
      </c>
      <c r="O231" s="287">
        <f t="shared" si="242"/>
        <v>0</v>
      </c>
      <c r="P231" s="287">
        <f t="shared" si="242"/>
        <v>0</v>
      </c>
      <c r="Q231" s="287">
        <f t="shared" ref="Q231:S231" si="243">Q$78 * Q201</f>
        <v>0</v>
      </c>
      <c r="R231" s="287">
        <f t="shared" si="243"/>
        <v>0</v>
      </c>
      <c r="S231" s="287">
        <f t="shared" si="243"/>
        <v>0</v>
      </c>
      <c r="T231" s="287">
        <f t="shared" ref="T231:U231" si="244">T$78 * T201</f>
        <v>4.4009096005768814E-3</v>
      </c>
      <c r="U231" s="287">
        <f t="shared" si="244"/>
        <v>0</v>
      </c>
      <c r="V231" s="287">
        <f t="shared" ref="V231:W231" si="245">V$78 * V201</f>
        <v>4.2743528309870087E-3</v>
      </c>
      <c r="W231" s="287">
        <f t="shared" si="245"/>
        <v>0</v>
      </c>
      <c r="X231" s="287">
        <f t="shared" ref="X231:Y231" si="246">X$78 * X201</f>
        <v>0</v>
      </c>
      <c r="Y231" s="287">
        <f t="shared" si="246"/>
        <v>0</v>
      </c>
      <c r="Z231" s="269"/>
      <c r="AA231" s="269"/>
    </row>
    <row r="232" spans="5:27" customFormat="1" x14ac:dyDescent="0.25">
      <c r="E232" s="2"/>
      <c r="F232" t="s">
        <v>199</v>
      </c>
      <c r="G232" t="s">
        <v>272</v>
      </c>
      <c r="H232" s="269"/>
      <c r="I232" s="269"/>
      <c r="J232" s="287">
        <f t="shared" ref="J232:K232" si="247">J$78 * J202</f>
        <v>0</v>
      </c>
      <c r="K232" s="287">
        <f t="shared" si="247"/>
        <v>0</v>
      </c>
      <c r="L232" s="287">
        <f t="shared" ref="L232:M232" si="248">L$78 * L202</f>
        <v>0</v>
      </c>
      <c r="M232" s="287">
        <f t="shared" si="248"/>
        <v>0</v>
      </c>
      <c r="N232" s="287">
        <f t="shared" ref="N232:P232" si="249">N$78 * N202</f>
        <v>0</v>
      </c>
      <c r="O232" s="287">
        <f t="shared" si="249"/>
        <v>0</v>
      </c>
      <c r="P232" s="287">
        <f t="shared" si="249"/>
        <v>0</v>
      </c>
      <c r="Q232" s="287">
        <f t="shared" ref="Q232:S232" si="250">Q$78 * Q202</f>
        <v>0</v>
      </c>
      <c r="R232" s="287">
        <f t="shared" si="250"/>
        <v>0</v>
      </c>
      <c r="S232" s="287">
        <f t="shared" si="250"/>
        <v>0</v>
      </c>
      <c r="T232" s="287">
        <f t="shared" ref="T232:U232" si="251">T$78 * T202</f>
        <v>1.8469204486052714E-3</v>
      </c>
      <c r="U232" s="287">
        <f t="shared" si="251"/>
        <v>0</v>
      </c>
      <c r="V232" s="287">
        <f t="shared" ref="V232:W232" si="252">V$78 * V202</f>
        <v>0</v>
      </c>
      <c r="W232" s="287">
        <f t="shared" si="252"/>
        <v>0</v>
      </c>
      <c r="X232" s="287">
        <f t="shared" ref="X232:Y232" si="253">X$78 * X202</f>
        <v>0</v>
      </c>
      <c r="Y232" s="287">
        <f t="shared" si="253"/>
        <v>0</v>
      </c>
      <c r="Z232" s="269"/>
      <c r="AA232" s="269"/>
    </row>
    <row r="233" spans="5:27" customFormat="1" x14ac:dyDescent="0.25">
      <c r="E233" s="2"/>
      <c r="F233" t="s">
        <v>376</v>
      </c>
      <c r="G233" t="s">
        <v>272</v>
      </c>
      <c r="H233" s="269"/>
      <c r="I233" s="269"/>
      <c r="J233" s="270"/>
      <c r="K233" s="270"/>
      <c r="L233" s="270"/>
      <c r="M233" s="270"/>
      <c r="N233" s="270"/>
      <c r="O233" s="270"/>
      <c r="P233" s="270"/>
      <c r="Q233" s="270"/>
      <c r="R233" s="270"/>
      <c r="S233" s="270"/>
      <c r="T233" s="270"/>
      <c r="U233" s="270"/>
      <c r="V233" s="270"/>
      <c r="W233" s="270"/>
      <c r="X233" s="270"/>
      <c r="Y233" s="270"/>
      <c r="Z233" s="269"/>
      <c r="AA233" s="269"/>
    </row>
    <row r="234" spans="5:27" customFormat="1" x14ac:dyDescent="0.25">
      <c r="E234" s="2"/>
      <c r="F234" s="37" t="s">
        <v>377</v>
      </c>
      <c r="G234" s="37" t="s">
        <v>272</v>
      </c>
      <c r="H234" s="273"/>
      <c r="I234" s="273"/>
      <c r="J234" s="274"/>
      <c r="K234" s="274"/>
      <c r="L234" s="274"/>
      <c r="M234" s="274"/>
      <c r="N234" s="274"/>
      <c r="O234" s="274"/>
      <c r="P234" s="274"/>
      <c r="Q234" s="274"/>
      <c r="R234" s="274"/>
      <c r="S234" s="274"/>
      <c r="T234" s="274"/>
      <c r="U234" s="274"/>
      <c r="V234" s="274"/>
      <c r="W234" s="274"/>
      <c r="X234" s="274"/>
      <c r="Y234" s="274"/>
      <c r="Z234" s="269"/>
      <c r="AA234" s="269"/>
    </row>
    <row r="235" spans="5:27" customFormat="1" x14ac:dyDescent="0.25">
      <c r="E235" s="2"/>
      <c r="J235" s="89"/>
      <c r="K235" s="89"/>
      <c r="L235" s="89"/>
      <c r="M235" s="89"/>
      <c r="N235" s="89"/>
      <c r="O235" s="89"/>
      <c r="P235" s="89"/>
      <c r="Q235" s="89"/>
      <c r="R235" s="89"/>
      <c r="S235" s="89"/>
      <c r="T235" s="89"/>
      <c r="U235" s="89"/>
      <c r="V235" s="89"/>
      <c r="W235" s="89"/>
      <c r="X235" s="89"/>
      <c r="Y235" s="89"/>
    </row>
    <row r="236" spans="5:27" customFormat="1" x14ac:dyDescent="0.25">
      <c r="E236" s="32" t="s">
        <v>622</v>
      </c>
      <c r="J236" s="89"/>
      <c r="K236" s="89"/>
      <c r="L236" s="89"/>
      <c r="M236" s="89"/>
      <c r="N236" s="89"/>
      <c r="O236" s="89"/>
      <c r="P236" s="89"/>
      <c r="Q236" s="89"/>
      <c r="R236" s="89"/>
      <c r="S236" s="89"/>
      <c r="T236" s="89"/>
      <c r="U236" s="89"/>
      <c r="V236" s="89"/>
      <c r="W236" s="89"/>
      <c r="X236" s="89"/>
      <c r="Y236" s="89"/>
    </row>
    <row r="237" spans="5:27" customFormat="1" x14ac:dyDescent="0.25">
      <c r="E237" s="2"/>
      <c r="F237" s="23" t="s">
        <v>189</v>
      </c>
      <c r="G237" s="23" t="s">
        <v>272</v>
      </c>
      <c r="H237" s="267"/>
      <c r="I237" s="267"/>
      <c r="J237" s="286">
        <f t="shared" ref="J237:K237" si="254">J$78 * J207</f>
        <v>0</v>
      </c>
      <c r="K237" s="286">
        <f t="shared" si="254"/>
        <v>0</v>
      </c>
      <c r="L237" s="286">
        <f t="shared" ref="L237:M237" si="255">L$78 * L207</f>
        <v>0</v>
      </c>
      <c r="M237" s="286">
        <f t="shared" si="255"/>
        <v>0</v>
      </c>
      <c r="N237" s="286">
        <f t="shared" ref="N237:P237" si="256">N$78 * N207</f>
        <v>1.1221793146617438E-2</v>
      </c>
      <c r="O237" s="286">
        <f t="shared" si="256"/>
        <v>1.0909841097293833E-2</v>
      </c>
      <c r="P237" s="286">
        <f t="shared" si="256"/>
        <v>8.6480347850490628E-3</v>
      </c>
      <c r="Q237" s="286">
        <f t="shared" ref="Q237:S237" si="257">Q$78 * Q207</f>
        <v>0</v>
      </c>
      <c r="R237" s="286">
        <f t="shared" si="257"/>
        <v>0</v>
      </c>
      <c r="S237" s="286">
        <f t="shared" si="257"/>
        <v>0</v>
      </c>
      <c r="T237" s="286">
        <f t="shared" ref="T237:U237" si="258">T$78 * T207</f>
        <v>8.0786324579431475E-3</v>
      </c>
      <c r="U237" s="286">
        <f t="shared" si="258"/>
        <v>0</v>
      </c>
      <c r="V237" s="286">
        <f t="shared" ref="V237:W237" si="259">V$78 * V207</f>
        <v>7.8463155690783621E-3</v>
      </c>
      <c r="W237" s="286">
        <f t="shared" si="259"/>
        <v>0</v>
      </c>
      <c r="X237" s="286">
        <f t="shared" ref="X237:Y237" si="260">X$78 * X207</f>
        <v>7.7638805439973107E-3</v>
      </c>
      <c r="Y237" s="286">
        <f t="shared" si="260"/>
        <v>0</v>
      </c>
      <c r="Z237" s="269"/>
      <c r="AA237" s="269"/>
    </row>
    <row r="238" spans="5:27" customFormat="1" x14ac:dyDescent="0.25">
      <c r="E238" s="2"/>
      <c r="F238" t="s">
        <v>191</v>
      </c>
      <c r="G238" t="s">
        <v>272</v>
      </c>
      <c r="H238" s="269"/>
      <c r="I238" s="269"/>
      <c r="J238" s="287">
        <f t="shared" ref="J238:K238" si="261">J$78 * J208</f>
        <v>0</v>
      </c>
      <c r="K238" s="287">
        <f t="shared" si="261"/>
        <v>0</v>
      </c>
      <c r="L238" s="287">
        <f t="shared" ref="L238:M238" si="262">L$78 * L208</f>
        <v>0</v>
      </c>
      <c r="M238" s="287">
        <f t="shared" si="262"/>
        <v>0</v>
      </c>
      <c r="N238" s="287">
        <f t="shared" ref="N238:P238" si="263">N$78 * N208</f>
        <v>0</v>
      </c>
      <c r="O238" s="287">
        <f t="shared" si="263"/>
        <v>0</v>
      </c>
      <c r="P238" s="287">
        <f t="shared" si="263"/>
        <v>0</v>
      </c>
      <c r="Q238" s="287">
        <f t="shared" ref="Q238:S238" si="264">Q$78 * Q208</f>
        <v>0</v>
      </c>
      <c r="R238" s="287">
        <f t="shared" si="264"/>
        <v>0</v>
      </c>
      <c r="S238" s="287">
        <f t="shared" si="264"/>
        <v>0</v>
      </c>
      <c r="T238" s="287">
        <f t="shared" ref="T238:U238" si="265">T$78 * T208</f>
        <v>0</v>
      </c>
      <c r="U238" s="287">
        <f t="shared" si="265"/>
        <v>0</v>
      </c>
      <c r="V238" s="287">
        <f t="shared" ref="V238:W238" si="266">V$78 * V208</f>
        <v>0</v>
      </c>
      <c r="W238" s="287">
        <f t="shared" si="266"/>
        <v>0</v>
      </c>
      <c r="X238" s="287">
        <f t="shared" ref="X238:Y238" si="267">X$78 * X208</f>
        <v>0</v>
      </c>
      <c r="Y238" s="287">
        <f t="shared" si="267"/>
        <v>0</v>
      </c>
      <c r="Z238" s="269"/>
      <c r="AA238" s="269"/>
    </row>
    <row r="239" spans="5:27" customFormat="1" x14ac:dyDescent="0.25">
      <c r="E239" s="2"/>
      <c r="F239" t="s">
        <v>192</v>
      </c>
      <c r="G239" t="s">
        <v>272</v>
      </c>
      <c r="H239" s="269"/>
      <c r="I239" s="269"/>
      <c r="J239" s="287">
        <f t="shared" ref="J239:K239" si="268">J$78 * J209</f>
        <v>0</v>
      </c>
      <c r="K239" s="287">
        <f t="shared" si="268"/>
        <v>0</v>
      </c>
      <c r="L239" s="287">
        <f t="shared" ref="L239:M239" si="269">L$78 * L209</f>
        <v>0</v>
      </c>
      <c r="M239" s="287">
        <f t="shared" si="269"/>
        <v>0</v>
      </c>
      <c r="N239" s="287">
        <f t="shared" ref="N239:P239" si="270">N$78 * N209</f>
        <v>1.2176800220026571E-2</v>
      </c>
      <c r="O239" s="287">
        <f t="shared" si="270"/>
        <v>1.1838300148495098E-2</v>
      </c>
      <c r="P239" s="287">
        <f t="shared" si="270"/>
        <v>9.2431642371904928E-3</v>
      </c>
      <c r="Q239" s="287">
        <f t="shared" ref="Q239:S239" si="271">Q$78 * Q209</f>
        <v>0</v>
      </c>
      <c r="R239" s="287">
        <f t="shared" si="271"/>
        <v>0</v>
      </c>
      <c r="S239" s="287">
        <f t="shared" si="271"/>
        <v>0</v>
      </c>
      <c r="T239" s="287">
        <f t="shared" ref="T239:U239" si="272">T$78 * T209</f>
        <v>8.7661474602254603E-3</v>
      </c>
      <c r="U239" s="287">
        <f t="shared" si="272"/>
        <v>0</v>
      </c>
      <c r="V239" s="287">
        <f t="shared" ref="V239:W239" si="273">V$78 * V209</f>
        <v>8.5140597317774173E-3</v>
      </c>
      <c r="W239" s="287">
        <f t="shared" si="273"/>
        <v>0</v>
      </c>
      <c r="X239" s="287">
        <f t="shared" ref="X239:Y239" si="274">X$78 * X209</f>
        <v>8.4246092474894001E-3</v>
      </c>
      <c r="Y239" s="287">
        <f t="shared" si="274"/>
        <v>0</v>
      </c>
      <c r="Z239" s="269"/>
      <c r="AA239" s="269"/>
    </row>
    <row r="240" spans="5:27" customFormat="1" x14ac:dyDescent="0.25">
      <c r="E240" s="2"/>
      <c r="F240" t="s">
        <v>193</v>
      </c>
      <c r="G240" t="s">
        <v>272</v>
      </c>
      <c r="H240" s="269"/>
      <c r="I240" s="269"/>
      <c r="J240" s="287">
        <f t="shared" ref="J240:K240" si="275">J$78 * J210</f>
        <v>0</v>
      </c>
      <c r="K240" s="287">
        <f t="shared" si="275"/>
        <v>0</v>
      </c>
      <c r="L240" s="287">
        <f t="shared" ref="L240:M240" si="276">L$78 * L210</f>
        <v>0</v>
      </c>
      <c r="M240" s="287">
        <f t="shared" si="276"/>
        <v>0</v>
      </c>
      <c r="N240" s="287">
        <f t="shared" ref="N240:P240" si="277">N$78 * N210</f>
        <v>6.3622644936230863E-3</v>
      </c>
      <c r="O240" s="287">
        <f t="shared" si="277"/>
        <v>6.1854013647814387E-3</v>
      </c>
      <c r="P240" s="287">
        <f t="shared" si="277"/>
        <v>4.9030563951466075E-3</v>
      </c>
      <c r="Q240" s="287">
        <f t="shared" ref="Q240:S240" si="278">Q$78 * Q210</f>
        <v>0</v>
      </c>
      <c r="R240" s="287">
        <f t="shared" si="278"/>
        <v>0</v>
      </c>
      <c r="S240" s="287">
        <f t="shared" si="278"/>
        <v>0</v>
      </c>
      <c r="T240" s="287">
        <f t="shared" ref="T240:U240" si="279">T$78 * T210</f>
        <v>4.5802302513208949E-3</v>
      </c>
      <c r="U240" s="287">
        <f t="shared" si="279"/>
        <v>0</v>
      </c>
      <c r="V240" s="287">
        <f t="shared" ref="V240:W240" si="280">V$78 * V210</f>
        <v>4.4485167654294781E-3</v>
      </c>
      <c r="W240" s="287">
        <f t="shared" si="280"/>
        <v>0</v>
      </c>
      <c r="X240" s="287">
        <f t="shared" ref="X240:Y240" si="281">X$78 * X210</f>
        <v>4.4017797220486524E-3</v>
      </c>
      <c r="Y240" s="287">
        <f t="shared" si="281"/>
        <v>0</v>
      </c>
      <c r="Z240" s="269"/>
      <c r="AA240" s="269"/>
    </row>
    <row r="241" spans="2:27" x14ac:dyDescent="0.25">
      <c r="D241"/>
      <c r="F241" t="s">
        <v>194</v>
      </c>
      <c r="G241" t="s">
        <v>272</v>
      </c>
      <c r="H241" s="269"/>
      <c r="I241" s="269"/>
      <c r="J241" s="287">
        <f t="shared" ref="J241:K241" si="282">J$78 * J211</f>
        <v>0</v>
      </c>
      <c r="K241" s="287">
        <f t="shared" si="282"/>
        <v>0</v>
      </c>
      <c r="L241" s="287">
        <f t="shared" ref="L241:M241" si="283">L$78 * L211</f>
        <v>0</v>
      </c>
      <c r="M241" s="287">
        <f t="shared" si="283"/>
        <v>0</v>
      </c>
      <c r="N241" s="287">
        <f t="shared" ref="N241:P241" si="284">N$78 * N211</f>
        <v>7.8597163605385219E-3</v>
      </c>
      <c r="O241" s="287">
        <f t="shared" si="284"/>
        <v>7.6412259113083714E-3</v>
      </c>
      <c r="P241" s="287">
        <f t="shared" si="284"/>
        <v>4.8456498599455814E-3</v>
      </c>
      <c r="Q241" s="287">
        <f t="shared" ref="Q241:S241" si="285">Q$78 * Q211</f>
        <v>0</v>
      </c>
      <c r="R241" s="287">
        <f t="shared" si="285"/>
        <v>0</v>
      </c>
      <c r="S241" s="287">
        <f t="shared" si="285"/>
        <v>0</v>
      </c>
      <c r="T241" s="287">
        <f t="shared" ref="T241:U241" si="286">T$78 * T211</f>
        <v>5.6582543334095133E-3</v>
      </c>
      <c r="U241" s="287">
        <f t="shared" si="286"/>
        <v>0</v>
      </c>
      <c r="V241" s="287">
        <f t="shared" ref="V241:W241" si="287">V$78 * V211</f>
        <v>5.4955401549905006E-3</v>
      </c>
      <c r="W241" s="287">
        <f t="shared" si="287"/>
        <v>0</v>
      </c>
      <c r="X241" s="287">
        <f t="shared" ref="X241:Y241" si="288">X$78 * X211</f>
        <v>5.4378028658740758E-3</v>
      </c>
      <c r="Y241" s="287">
        <f t="shared" si="288"/>
        <v>0</v>
      </c>
      <c r="Z241" s="269"/>
      <c r="AA241" s="269"/>
    </row>
    <row r="242" spans="2:27" x14ac:dyDescent="0.25">
      <c r="D242"/>
      <c r="F242" t="s">
        <v>195</v>
      </c>
      <c r="G242" t="s">
        <v>272</v>
      </c>
      <c r="H242" s="269"/>
      <c r="I242" s="269"/>
      <c r="J242" s="287">
        <f t="shared" ref="J242:K242" si="289">J$78 * J212</f>
        <v>0</v>
      </c>
      <c r="K242" s="287">
        <f t="shared" si="289"/>
        <v>0</v>
      </c>
      <c r="L242" s="287">
        <f t="shared" ref="L242:M242" si="290">L$78 * L212</f>
        <v>0</v>
      </c>
      <c r="M242" s="287">
        <f t="shared" si="290"/>
        <v>0</v>
      </c>
      <c r="N242" s="287">
        <f t="shared" ref="N242:P242" si="291">N$78 * N212</f>
        <v>1.2644038760817608E-2</v>
      </c>
      <c r="O242" s="287">
        <f t="shared" si="291"/>
        <v>1.2292550032445074E-2</v>
      </c>
      <c r="P242" s="287">
        <f t="shared" si="291"/>
        <v>0</v>
      </c>
      <c r="Q242" s="287">
        <f t="shared" ref="Q242:S242" si="292">Q$78 * Q212</f>
        <v>0</v>
      </c>
      <c r="R242" s="287">
        <f t="shared" si="292"/>
        <v>0</v>
      </c>
      <c r="S242" s="287">
        <f t="shared" si="292"/>
        <v>0</v>
      </c>
      <c r="T242" s="287">
        <f t="shared" ref="T242:U242" si="293">T$78 * T212</f>
        <v>9.1025151326570471E-3</v>
      </c>
      <c r="U242" s="287">
        <f t="shared" si="293"/>
        <v>0</v>
      </c>
      <c r="V242" s="287">
        <f t="shared" ref="V242:W242" si="294">V$78 * V212</f>
        <v>8.8407544934062388E-3</v>
      </c>
      <c r="W242" s="287">
        <f t="shared" si="294"/>
        <v>0</v>
      </c>
      <c r="X242" s="287">
        <f t="shared" ref="X242:Y242" si="295">X$78 * X212</f>
        <v>8.7478716859301486E-3</v>
      </c>
      <c r="Y242" s="287">
        <f t="shared" si="295"/>
        <v>0</v>
      </c>
      <c r="Z242" s="269"/>
      <c r="AA242" s="269"/>
    </row>
    <row r="243" spans="2:27" x14ac:dyDescent="0.25">
      <c r="D243"/>
      <c r="F243" t="s">
        <v>196</v>
      </c>
      <c r="G243" t="s">
        <v>272</v>
      </c>
      <c r="H243" s="269"/>
      <c r="I243" s="269"/>
      <c r="J243" s="287">
        <f t="shared" ref="J243:K243" si="296">J$78 * J213</f>
        <v>0</v>
      </c>
      <c r="K243" s="287">
        <f t="shared" si="296"/>
        <v>0</v>
      </c>
      <c r="L243" s="287">
        <f t="shared" ref="L243:M243" si="297">L$78 * L213</f>
        <v>0</v>
      </c>
      <c r="M243" s="287">
        <f t="shared" si="297"/>
        <v>0</v>
      </c>
      <c r="N243" s="287">
        <f t="shared" ref="N243:P243" si="298">N$78 * N213</f>
        <v>1.0647166845015317E-3</v>
      </c>
      <c r="O243" s="287">
        <f t="shared" si="298"/>
        <v>1.0351188700221758E-3</v>
      </c>
      <c r="P243" s="287">
        <f t="shared" si="298"/>
        <v>0</v>
      </c>
      <c r="Q243" s="287">
        <f t="shared" ref="Q243:S243" si="299">Q$78 * Q213</f>
        <v>0</v>
      </c>
      <c r="R243" s="287">
        <f t="shared" si="299"/>
        <v>0</v>
      </c>
      <c r="S243" s="287">
        <f t="shared" si="299"/>
        <v>0</v>
      </c>
      <c r="T243" s="287">
        <f t="shared" ref="T243:U243" si="300">T$78 * T213</f>
        <v>7.6649557281497434E-4</v>
      </c>
      <c r="U243" s="287">
        <f t="shared" si="300"/>
        <v>0</v>
      </c>
      <c r="V243" s="287">
        <f t="shared" ref="V243:W243" si="301">V$78 * V213</f>
        <v>7.4445349233513724E-4</v>
      </c>
      <c r="W243" s="287">
        <f t="shared" si="301"/>
        <v>0</v>
      </c>
      <c r="X243" s="287">
        <f t="shared" ref="X243:Y243" si="302">X$78 * X213</f>
        <v>7.3663210893906619E-4</v>
      </c>
      <c r="Y243" s="287">
        <f t="shared" si="302"/>
        <v>0</v>
      </c>
      <c r="Z243" s="269"/>
      <c r="AA243" s="269"/>
    </row>
    <row r="244" spans="2:27" x14ac:dyDescent="0.25">
      <c r="D244"/>
      <c r="F244" t="s">
        <v>197</v>
      </c>
      <c r="G244" t="s">
        <v>272</v>
      </c>
      <c r="H244" s="269"/>
      <c r="I244" s="269"/>
      <c r="J244" s="287">
        <f t="shared" ref="J244:K244" si="303">J$78 * J214</f>
        <v>0</v>
      </c>
      <c r="K244" s="287">
        <f t="shared" si="303"/>
        <v>0</v>
      </c>
      <c r="L244" s="287">
        <f t="shared" ref="L244:M244" si="304">L$78 * L214</f>
        <v>0</v>
      </c>
      <c r="M244" s="287">
        <f t="shared" si="304"/>
        <v>0</v>
      </c>
      <c r="N244" s="287">
        <f t="shared" ref="N244:P244" si="305">N$78 * N214</f>
        <v>2.3303760416223417E-2</v>
      </c>
      <c r="O244" s="287">
        <f t="shared" si="305"/>
        <v>0</v>
      </c>
      <c r="P244" s="287">
        <f t="shared" si="305"/>
        <v>0</v>
      </c>
      <c r="Q244" s="287">
        <f t="shared" ref="Q244:S244" si="306">Q$78 * Q214</f>
        <v>0</v>
      </c>
      <c r="R244" s="287">
        <f t="shared" si="306"/>
        <v>0</v>
      </c>
      <c r="S244" s="287">
        <f t="shared" si="306"/>
        <v>0</v>
      </c>
      <c r="T244" s="287">
        <f t="shared" ref="T244:U244" si="307">T$78 * T214</f>
        <v>2.0970636424912717E-2</v>
      </c>
      <c r="U244" s="287">
        <f t="shared" si="307"/>
        <v>0</v>
      </c>
      <c r="V244" s="287">
        <f t="shared" ref="V244:W244" si="308">V$78 * V214</f>
        <v>2.0367584728092403E-2</v>
      </c>
      <c r="W244" s="287">
        <f t="shared" si="308"/>
        <v>0</v>
      </c>
      <c r="X244" s="287">
        <f t="shared" ref="X244:Y244" si="309">X$78 * X214</f>
        <v>2.0153598642123908E-2</v>
      </c>
      <c r="Y244" s="287">
        <f t="shared" si="309"/>
        <v>0</v>
      </c>
      <c r="Z244" s="269"/>
      <c r="AA244" s="269"/>
    </row>
    <row r="245" spans="2:27" x14ac:dyDescent="0.25">
      <c r="D245"/>
      <c r="F245" t="s">
        <v>198</v>
      </c>
      <c r="G245" t="s">
        <v>272</v>
      </c>
      <c r="H245" s="269"/>
      <c r="I245" s="269"/>
      <c r="J245" s="287">
        <f t="shared" ref="J245:K245" si="310">J$78 * J215</f>
        <v>0</v>
      </c>
      <c r="K245" s="287">
        <f t="shared" si="310"/>
        <v>0</v>
      </c>
      <c r="L245" s="287">
        <f t="shared" ref="L245:M245" si="311">L$78 * L215</f>
        <v>0</v>
      </c>
      <c r="M245" s="287">
        <f t="shared" si="311"/>
        <v>0</v>
      </c>
      <c r="N245" s="287">
        <f t="shared" ref="N245:P245" si="312">N$78 * N215</f>
        <v>0</v>
      </c>
      <c r="O245" s="287">
        <f t="shared" si="312"/>
        <v>0</v>
      </c>
      <c r="P245" s="287">
        <f t="shared" si="312"/>
        <v>0</v>
      </c>
      <c r="Q245" s="287">
        <f t="shared" ref="Q245:S245" si="313">Q$78 * Q215</f>
        <v>0</v>
      </c>
      <c r="R245" s="287">
        <f t="shared" si="313"/>
        <v>0</v>
      </c>
      <c r="S245" s="287">
        <f t="shared" si="313"/>
        <v>0</v>
      </c>
      <c r="T245" s="287">
        <f t="shared" ref="T245:U245" si="314">T$78 * T215</f>
        <v>9.5993537333927108E-3</v>
      </c>
      <c r="U245" s="287">
        <f t="shared" si="314"/>
        <v>0</v>
      </c>
      <c r="V245" s="287">
        <f t="shared" ref="V245:W245" si="315">V$78 * V215</f>
        <v>9.3233055277014542E-3</v>
      </c>
      <c r="W245" s="287">
        <f t="shared" si="315"/>
        <v>0</v>
      </c>
      <c r="X245" s="287">
        <f t="shared" ref="X245:Y245" si="316">X$78 * X215</f>
        <v>0</v>
      </c>
      <c r="Y245" s="287">
        <f t="shared" si="316"/>
        <v>0</v>
      </c>
      <c r="Z245" s="269"/>
      <c r="AA245" s="269"/>
    </row>
    <row r="246" spans="2:27" x14ac:dyDescent="0.25">
      <c r="D246"/>
      <c r="F246" t="s">
        <v>199</v>
      </c>
      <c r="G246" t="s">
        <v>272</v>
      </c>
      <c r="H246" s="269"/>
      <c r="I246" s="269"/>
      <c r="J246" s="287">
        <f t="shared" ref="J246:K246" si="317">J$78 * J216</f>
        <v>0</v>
      </c>
      <c r="K246" s="287">
        <f t="shared" si="317"/>
        <v>0</v>
      </c>
      <c r="L246" s="287">
        <f t="shared" ref="L246:M246" si="318">L$78 * L216</f>
        <v>0</v>
      </c>
      <c r="M246" s="287">
        <f t="shared" si="318"/>
        <v>0</v>
      </c>
      <c r="N246" s="287">
        <f t="shared" ref="N246:P246" si="319">N$78 * N216</f>
        <v>0</v>
      </c>
      <c r="O246" s="287">
        <f t="shared" si="319"/>
        <v>0</v>
      </c>
      <c r="P246" s="287">
        <f t="shared" si="319"/>
        <v>0</v>
      </c>
      <c r="Q246" s="287">
        <f t="shared" ref="Q246:S246" si="320">Q$78 * Q216</f>
        <v>0</v>
      </c>
      <c r="R246" s="287">
        <f t="shared" si="320"/>
        <v>0</v>
      </c>
      <c r="S246" s="287">
        <f t="shared" si="320"/>
        <v>0</v>
      </c>
      <c r="T246" s="287">
        <f t="shared" ref="T246:U246" si="321">T$78 * T216</f>
        <v>1.9133495134530977E-2</v>
      </c>
      <c r="U246" s="287">
        <f t="shared" si="321"/>
        <v>0</v>
      </c>
      <c r="V246" s="287">
        <f t="shared" ref="V246:W246" si="322">V$78 * V216</f>
        <v>0</v>
      </c>
      <c r="W246" s="287">
        <f t="shared" si="322"/>
        <v>0</v>
      </c>
      <c r="X246" s="287">
        <f t="shared" ref="X246:Y246" si="323">X$78 * X216</f>
        <v>0</v>
      </c>
      <c r="Y246" s="287">
        <f t="shared" si="323"/>
        <v>0</v>
      </c>
      <c r="Z246" s="269"/>
      <c r="AA246" s="269"/>
    </row>
    <row r="247" spans="2:27" x14ac:dyDescent="0.25">
      <c r="D247"/>
      <c r="F247" t="s">
        <v>376</v>
      </c>
      <c r="G247" t="s">
        <v>272</v>
      </c>
      <c r="H247" s="269"/>
      <c r="I247" s="269"/>
      <c r="J247" s="270"/>
      <c r="K247" s="270"/>
      <c r="L247" s="270"/>
      <c r="M247" s="270"/>
      <c r="N247" s="270"/>
      <c r="O247" s="270"/>
      <c r="P247" s="270"/>
      <c r="Q247" s="270"/>
      <c r="R247" s="270"/>
      <c r="S247" s="270"/>
      <c r="T247" s="270"/>
      <c r="U247" s="270"/>
      <c r="V247" s="270"/>
      <c r="W247" s="270"/>
      <c r="X247" s="270"/>
      <c r="Y247" s="270"/>
      <c r="Z247" s="269"/>
      <c r="AA247" s="269"/>
    </row>
    <row r="248" spans="2:27" x14ac:dyDescent="0.25">
      <c r="D248"/>
      <c r="F248" s="37" t="s">
        <v>377</v>
      </c>
      <c r="G248" s="37" t="s">
        <v>272</v>
      </c>
      <c r="H248" s="273"/>
      <c r="I248" s="273"/>
      <c r="J248" s="274"/>
      <c r="K248" s="274"/>
      <c r="L248" s="274"/>
      <c r="M248" s="274"/>
      <c r="N248" s="274"/>
      <c r="O248" s="274"/>
      <c r="P248" s="274"/>
      <c r="Q248" s="274"/>
      <c r="R248" s="274"/>
      <c r="S248" s="274"/>
      <c r="T248" s="274"/>
      <c r="U248" s="274"/>
      <c r="V248" s="274"/>
      <c r="W248" s="274"/>
      <c r="X248" s="274"/>
      <c r="Y248" s="274"/>
      <c r="Z248" s="269"/>
      <c r="AA248" s="269"/>
    </row>
    <row r="249" spans="2:27" x14ac:dyDescent="0.25">
      <c r="C249" s="88"/>
      <c r="J249" s="89"/>
      <c r="K249" s="89"/>
      <c r="L249" s="89"/>
      <c r="M249" s="89"/>
      <c r="N249" s="89"/>
      <c r="O249" s="89"/>
      <c r="P249" s="89"/>
      <c r="Q249" s="89"/>
      <c r="R249" s="89"/>
      <c r="S249" s="89"/>
      <c r="T249" s="89"/>
      <c r="U249" s="89"/>
      <c r="V249" s="89"/>
      <c r="W249" s="89"/>
      <c r="X249" s="89"/>
      <c r="Y249" s="89"/>
    </row>
    <row r="250" spans="2:27" x14ac:dyDescent="0.25">
      <c r="E250" t="s">
        <v>684</v>
      </c>
      <c r="G250" t="s">
        <v>272</v>
      </c>
      <c r="H250" s="269"/>
      <c r="I250" s="269" t="s">
        <v>154</v>
      </c>
      <c r="J250" s="277">
        <f t="shared" ref="J250:K250" si="324">SUM(J223:J234,J237:J248)</f>
        <v>0</v>
      </c>
      <c r="K250" s="277">
        <f t="shared" si="324"/>
        <v>0</v>
      </c>
      <c r="L250" s="277">
        <f t="shared" ref="L250:M250" si="325">SUM(L223:L234,L237:L248)</f>
        <v>0</v>
      </c>
      <c r="M250" s="277">
        <f t="shared" si="325"/>
        <v>0</v>
      </c>
      <c r="N250" s="277">
        <f t="shared" ref="N250:P250" si="326">SUM(N223:N234,N237:N248)</f>
        <v>0.15692255620699452</v>
      </c>
      <c r="O250" s="277">
        <f t="shared" si="326"/>
        <v>0.11131765254811224</v>
      </c>
      <c r="P250" s="277">
        <f t="shared" si="326"/>
        <v>5.7053720558470841E-2</v>
      </c>
      <c r="Q250" s="277">
        <f t="shared" ref="Q250:S250" si="327">SUM(Q223:Q234,Q237:Q248)</f>
        <v>0</v>
      </c>
      <c r="R250" s="277">
        <f t="shared" si="327"/>
        <v>0</v>
      </c>
      <c r="S250" s="277">
        <f t="shared" si="327"/>
        <v>0</v>
      </c>
      <c r="T250" s="277">
        <f t="shared" ref="T250:U250" si="328">SUM(T223:T234,T237:T248)</f>
        <v>0.15558506248767914</v>
      </c>
      <c r="U250" s="277">
        <f t="shared" si="328"/>
        <v>0</v>
      </c>
      <c r="V250" s="277">
        <f t="shared" ref="V250:W250" si="329">SUM(V223:V234,V237:V248)</f>
        <v>0.13073382681730653</v>
      </c>
      <c r="W250" s="277">
        <f t="shared" si="329"/>
        <v>0</v>
      </c>
      <c r="X250" s="277">
        <f t="shared" ref="X250:Y250" si="330">SUM(X223:X234,X237:X248)</f>
        <v>0.10505458869968366</v>
      </c>
      <c r="Y250" s="277">
        <f t="shared" si="330"/>
        <v>0</v>
      </c>
      <c r="Z250" s="269"/>
      <c r="AA250" s="269" t="s">
        <v>683</v>
      </c>
    </row>
    <row r="251" spans="2:27" x14ac:dyDescent="0.25">
      <c r="C251" s="88"/>
    </row>
    <row r="252" spans="2:27" x14ac:dyDescent="0.25">
      <c r="B252" s="30" t="s">
        <v>231</v>
      </c>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row>
    <row r="254" spans="2:27" x14ac:dyDescent="0.25">
      <c r="E254" t="s">
        <v>232</v>
      </c>
      <c r="G254" s="6" t="s">
        <v>55</v>
      </c>
      <c r="H254" s="26">
        <f t="array" ref="H254">SUM(IF(ISERROR(H21:Y250), 1))</f>
        <v>0</v>
      </c>
    </row>
    <row r="256" spans="2:27" x14ac:dyDescent="0.25">
      <c r="B256" s="30" t="s">
        <v>106</v>
      </c>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row>
    <row r="279" spans="18:23" x14ac:dyDescent="0.25">
      <c r="R279" s="63"/>
      <c r="S279" s="63"/>
      <c r="T279" s="63"/>
      <c r="U279" s="63"/>
      <c r="V279" s="63"/>
      <c r="W279" s="63"/>
    </row>
    <row r="280" spans="18:23" x14ac:dyDescent="0.25">
      <c r="R280" s="63"/>
      <c r="S280" s="63"/>
      <c r="T280" s="63"/>
      <c r="U280" s="63"/>
      <c r="V280" s="63"/>
      <c r="W280" s="63"/>
    </row>
    <row r="281" spans="18:23" x14ac:dyDescent="0.25">
      <c r="R281" s="63"/>
      <c r="S281" s="63"/>
      <c r="T281" s="63"/>
      <c r="U281" s="63"/>
      <c r="V281" s="63"/>
      <c r="W281" s="63"/>
    </row>
    <row r="282" spans="18:23" x14ac:dyDescent="0.25">
      <c r="R282" s="63"/>
      <c r="S282" s="63"/>
      <c r="T282" s="63"/>
      <c r="U282" s="63"/>
      <c r="V282" s="63"/>
      <c r="W282" s="63"/>
    </row>
    <row r="283" spans="18:23" x14ac:dyDescent="0.25">
      <c r="R283" s="63"/>
      <c r="S283" s="63"/>
      <c r="T283" s="63"/>
      <c r="U283" s="63"/>
      <c r="V283" s="63"/>
      <c r="W283" s="63"/>
    </row>
    <row r="284" spans="18:23" x14ac:dyDescent="0.25">
      <c r="R284" s="63"/>
      <c r="S284" s="63"/>
      <c r="T284" s="63"/>
      <c r="U284" s="63"/>
      <c r="V284" s="63"/>
      <c r="W284" s="63"/>
    </row>
    <row r="285" spans="18:23" x14ac:dyDescent="0.25">
      <c r="R285" s="63"/>
      <c r="S285" s="63"/>
      <c r="T285" s="63"/>
      <c r="U285" s="63"/>
      <c r="V285" s="63"/>
      <c r="W285" s="63"/>
    </row>
    <row r="286" spans="18:23" x14ac:dyDescent="0.25">
      <c r="R286" s="63"/>
      <c r="S286" s="63"/>
      <c r="T286" s="63"/>
      <c r="U286" s="63"/>
      <c r="V286" s="63"/>
      <c r="W286" s="63"/>
    </row>
    <row r="287" spans="18:23" x14ac:dyDescent="0.25">
      <c r="R287" s="63"/>
      <c r="S287" s="63"/>
      <c r="T287" s="63"/>
      <c r="U287" s="63"/>
      <c r="V287" s="63"/>
      <c r="W287" s="63"/>
    </row>
    <row r="288" spans="18:23" x14ac:dyDescent="0.25">
      <c r="R288" s="63"/>
      <c r="S288" s="63"/>
      <c r="T288" s="63"/>
      <c r="U288" s="63"/>
      <c r="V288" s="63"/>
      <c r="W288" s="63"/>
    </row>
    <row r="289" spans="18:23" x14ac:dyDescent="0.25">
      <c r="R289" s="63"/>
      <c r="S289" s="63"/>
      <c r="T289" s="63"/>
      <c r="U289" s="63"/>
      <c r="V289" s="63"/>
      <c r="W289" s="63"/>
    </row>
    <row r="290" spans="18:23" x14ac:dyDescent="0.25">
      <c r="R290" s="63"/>
      <c r="S290" s="63"/>
      <c r="T290" s="63"/>
      <c r="U290" s="63"/>
      <c r="V290" s="63"/>
      <c r="W290" s="63"/>
    </row>
    <row r="291" spans="18:23" x14ac:dyDescent="0.25">
      <c r="R291" s="63"/>
      <c r="S291" s="63"/>
      <c r="T291" s="63"/>
      <c r="U291" s="63"/>
      <c r="V291" s="63"/>
      <c r="W291" s="63"/>
    </row>
    <row r="292" spans="18:23" x14ac:dyDescent="0.25">
      <c r="R292" s="63"/>
      <c r="S292" s="63"/>
      <c r="T292" s="63"/>
      <c r="U292" s="63"/>
      <c r="V292" s="63"/>
      <c r="W292" s="63"/>
    </row>
  </sheetData>
  <sheetProtection sheet="1" objects="1" formatCells="0" formatColumns="0" formatRows="0" sort="0" autoFilter="0"/>
  <conditionalFormatting sqref="H254">
    <cfRule type="cellIs" dxfId="79" priority="10" operator="greaterThan">
      <formula>0</formula>
    </cfRule>
  </conditionalFormatting>
  <conditionalFormatting sqref="A4:I4 Z4:XFD4">
    <cfRule type="expression" dxfId="78" priority="9">
      <formula>LEFT($A$4,1) &lt;&gt; "0"</formula>
    </cfRule>
  </conditionalFormatting>
  <conditionalFormatting sqref="N4:P4">
    <cfRule type="expression" dxfId="77" priority="8">
      <formula>LEFT($A$4,1) &lt;&gt; "0"</formula>
    </cfRule>
  </conditionalFormatting>
  <conditionalFormatting sqref="L4:M4">
    <cfRule type="expression" dxfId="76" priority="7">
      <formula>LEFT($A$4,1) &lt;&gt; "0"</formula>
    </cfRule>
  </conditionalFormatting>
  <conditionalFormatting sqref="J4:K4">
    <cfRule type="expression" dxfId="75" priority="6">
      <formula>LEFT($A$4,1) &lt;&gt; "0"</formula>
    </cfRule>
  </conditionalFormatting>
  <conditionalFormatting sqref="Q4">
    <cfRule type="expression" dxfId="74" priority="5">
      <formula>LEFT($A$4,1) &lt;&gt; "0"</formula>
    </cfRule>
  </conditionalFormatting>
  <conditionalFormatting sqref="R4:S4">
    <cfRule type="expression" dxfId="73" priority="4">
      <formula>LEFT($A$4,1) &lt;&gt; "0"</formula>
    </cfRule>
  </conditionalFormatting>
  <conditionalFormatting sqref="T4:U4">
    <cfRule type="expression" dxfId="72" priority="3">
      <formula>LEFT($A$4,1) &lt;&gt; "0"</formula>
    </cfRule>
  </conditionalFormatting>
  <conditionalFormatting sqref="V4:W4">
    <cfRule type="expression" dxfId="71" priority="2">
      <formula>LEFT($A$4,1) &lt;&gt; "0"</formula>
    </cfRule>
  </conditionalFormatting>
  <conditionalFormatting sqref="X4:Y4">
    <cfRule type="expression" dxfId="7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KZ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2" width="24.5703125" hidden="1" customWidth="1"/>
    <col min="313" max="16384" width="8.5703125" hidden="1"/>
  </cols>
  <sheetData>
    <row r="1" spans="1:27" s="1" customFormat="1" x14ac:dyDescent="0.25">
      <c r="A1" s="1" t="str">
        <f ca="1">MID(CELL("filename",A1),FIND("]",CELL("filename",A1))+1,255)</f>
        <v>Capacity charges</v>
      </c>
    </row>
    <row r="2" spans="1:27" s="1" customFormat="1" x14ac:dyDescent="0.25">
      <c r="A2" s="1" t="str">
        <f>Cover!D21&amp;" - "&amp;Cover!D23</f>
        <v>WPD East Midlands - April 21 Prices</v>
      </c>
    </row>
    <row r="3" spans="1:27" s="5" customFormat="1" x14ac:dyDescent="0.25">
      <c r="A3" s="5" t="str">
        <f>Cover!D2&amp;" - "&amp;Cover!D8&amp;" v"&amp;Cover!D10&amp;" - "&amp;Cover!D19</f>
        <v>CDCM charging model - Release for charge setting v5 - 2021/22</v>
      </c>
    </row>
    <row r="4" spans="1:27" x14ac:dyDescent="0.25">
      <c r="A4" s="12" t="str">
        <f>H295 &amp; IF(H295 = 1, " issue", " issues") &amp;" identified in checks on this sheet"</f>
        <v>0 issues identified in checks on this sheet</v>
      </c>
      <c r="B4" s="13"/>
      <c r="C4" s="13"/>
      <c r="D4" s="13"/>
      <c r="E4" s="13"/>
      <c r="F4" s="13"/>
      <c r="G4" s="13"/>
      <c r="H4" s="14"/>
      <c r="I4" s="14"/>
      <c r="AA4" s="15"/>
    </row>
    <row r="5" spans="1:27" ht="60" x14ac:dyDescent="0.25">
      <c r="B5" s="59" t="s">
        <v>142</v>
      </c>
      <c r="C5" s="60"/>
      <c r="D5" s="60"/>
      <c r="E5" s="60"/>
      <c r="F5" s="60"/>
      <c r="G5" s="61" t="s">
        <v>143</v>
      </c>
      <c r="H5" s="62" t="s">
        <v>144</v>
      </c>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D9" s="29" t="s">
        <v>685</v>
      </c>
      <c r="E9"/>
    </row>
    <row r="10" spans="1:27" x14ac:dyDescent="0.25">
      <c r="D10" s="29" t="s">
        <v>686</v>
      </c>
      <c r="E10"/>
    </row>
    <row r="11" spans="1:27" x14ac:dyDescent="0.25">
      <c r="D11" s="29" t="s">
        <v>687</v>
      </c>
      <c r="E11"/>
    </row>
    <row r="12" spans="1:27" x14ac:dyDescent="0.25">
      <c r="D12" s="29" t="s">
        <v>688</v>
      </c>
      <c r="E12"/>
    </row>
    <row r="13" spans="1:27" x14ac:dyDescent="0.25">
      <c r="D13" s="29" t="s">
        <v>689</v>
      </c>
      <c r="E13"/>
    </row>
    <row r="14" spans="1:27" x14ac:dyDescent="0.25">
      <c r="D14" s="29" t="s">
        <v>690</v>
      </c>
      <c r="E14"/>
    </row>
    <row r="15" spans="1:27" x14ac:dyDescent="0.25">
      <c r="D15" s="29" t="s">
        <v>691</v>
      </c>
    </row>
    <row r="17" spans="2:27" x14ac:dyDescent="0.25">
      <c r="B17" s="30" t="s">
        <v>692</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row>
    <row r="18" spans="2:27" x14ac:dyDescent="0.25">
      <c r="D18"/>
      <c r="E18"/>
    </row>
    <row r="19" spans="2:27" x14ac:dyDescent="0.25">
      <c r="C19" s="31" t="str">
        <f ca="1">INDEX('Version control'!$H$34:$H$57,MATCH($A$1,'Version control'!$F$34:$F$57,0),1)&amp;"-A: Inputs to capacity charge calculations"</f>
        <v>Section 113-A: Inputs to capacity charge calculations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1" spans="2:27" x14ac:dyDescent="0.25">
      <c r="E21" s="32" t="s">
        <v>693</v>
      </c>
      <c r="F21" s="2"/>
    </row>
    <row r="22" spans="2:27" x14ac:dyDescent="0.25">
      <c r="D22"/>
      <c r="E22" s="29" t="s">
        <v>694</v>
      </c>
      <c r="F22" s="2"/>
    </row>
    <row r="23" spans="2:27" x14ac:dyDescent="0.25">
      <c r="C23" s="88"/>
      <c r="F23" s="108" t="s">
        <v>189</v>
      </c>
      <c r="G23" s="108" t="s">
        <v>167</v>
      </c>
      <c r="H23" s="207">
        <f>'System peak demand'!H226</f>
        <v>2.4713742436156094E-2</v>
      </c>
    </row>
    <row r="24" spans="2:27" x14ac:dyDescent="0.25">
      <c r="C24" s="88"/>
      <c r="F24" t="s">
        <v>191</v>
      </c>
      <c r="G24" t="s">
        <v>167</v>
      </c>
      <c r="H24" s="25">
        <f>'System peak demand'!H226</f>
        <v>2.4713742436156094E-2</v>
      </c>
    </row>
    <row r="25" spans="2:27" x14ac:dyDescent="0.25">
      <c r="C25" s="88"/>
      <c r="F25" t="s">
        <v>192</v>
      </c>
      <c r="G25" t="s">
        <v>167</v>
      </c>
      <c r="H25" s="25">
        <f>'System peak demand'!H227</f>
        <v>7.0839672179421997E-2</v>
      </c>
    </row>
    <row r="26" spans="2:27" x14ac:dyDescent="0.25">
      <c r="C26" s="88"/>
      <c r="F26" t="s">
        <v>193</v>
      </c>
      <c r="G26" t="s">
        <v>167</v>
      </c>
      <c r="H26" s="25">
        <f>'System peak demand'!H228</f>
        <v>7.0839672179421997E-2</v>
      </c>
    </row>
    <row r="27" spans="2:27" x14ac:dyDescent="0.25">
      <c r="C27" s="88"/>
      <c r="F27" t="s">
        <v>194</v>
      </c>
      <c r="G27" t="s">
        <v>167</v>
      </c>
      <c r="H27" s="25">
        <f>'System peak demand'!H229</f>
        <v>0.15545489876905783</v>
      </c>
    </row>
    <row r="28" spans="2:27" x14ac:dyDescent="0.25">
      <c r="C28" s="88"/>
      <c r="F28" t="s">
        <v>195</v>
      </c>
      <c r="G28" t="s">
        <v>167</v>
      </c>
      <c r="H28" s="25">
        <f>'System peak demand'!H230</f>
        <v>0.15545489876905783</v>
      </c>
    </row>
    <row r="29" spans="2:27" x14ac:dyDescent="0.25">
      <c r="C29" s="88"/>
      <c r="F29" t="s">
        <v>196</v>
      </c>
      <c r="G29" t="s">
        <v>167</v>
      </c>
      <c r="H29" s="25">
        <f>'System peak demand'!H231</f>
        <v>7.0839672179421997E-2</v>
      </c>
    </row>
    <row r="30" spans="2:27" x14ac:dyDescent="0.25">
      <c r="C30" s="88"/>
      <c r="F30" t="s">
        <v>197</v>
      </c>
      <c r="G30" t="s">
        <v>167</v>
      </c>
      <c r="H30" s="25">
        <f>'System peak demand'!H232</f>
        <v>0.54830956435053779</v>
      </c>
    </row>
    <row r="31" spans="2:27" x14ac:dyDescent="0.25">
      <c r="C31" s="88"/>
      <c r="F31" t="s">
        <v>198</v>
      </c>
      <c r="G31" t="s">
        <v>167</v>
      </c>
      <c r="H31" s="25">
        <f>'System peak demand'!H233</f>
        <v>0.54830956435053779</v>
      </c>
    </row>
    <row r="32" spans="2:27" x14ac:dyDescent="0.25">
      <c r="C32" s="88"/>
      <c r="F32" t="s">
        <v>199</v>
      </c>
      <c r="G32" t="s">
        <v>167</v>
      </c>
      <c r="H32" s="25">
        <f>'System peak demand'!H234</f>
        <v>0.61169697018247948</v>
      </c>
    </row>
    <row r="33" spans="3:8" x14ac:dyDescent="0.25">
      <c r="C33" s="88"/>
      <c r="F33" t="s">
        <v>376</v>
      </c>
      <c r="G33" t="s">
        <v>167</v>
      </c>
      <c r="H33" s="66"/>
    </row>
    <row r="34" spans="3:8" x14ac:dyDescent="0.25">
      <c r="C34" s="88"/>
      <c r="F34" s="37" t="s">
        <v>377</v>
      </c>
      <c r="G34" s="37" t="s">
        <v>167</v>
      </c>
      <c r="H34" s="68"/>
    </row>
    <row r="35" spans="3:8" x14ac:dyDescent="0.25">
      <c r="C35" s="88"/>
      <c r="F35" s="2"/>
    </row>
    <row r="36" spans="3:8" x14ac:dyDescent="0.25">
      <c r="E36" s="88" t="s">
        <v>394</v>
      </c>
      <c r="F36" s="2"/>
    </row>
    <row r="37" spans="3:8" x14ac:dyDescent="0.25">
      <c r="C37" s="88"/>
      <c r="F37" s="23" t="s">
        <v>189</v>
      </c>
      <c r="G37" s="64" t="s">
        <v>283</v>
      </c>
      <c r="H37" s="124">
        <f t="array" ref="H37:H46">TRANSPOSE('Load &amp; loss characteristics'!J29:S29)</f>
        <v>1</v>
      </c>
    </row>
    <row r="38" spans="3:8" x14ac:dyDescent="0.25">
      <c r="C38" s="88"/>
      <c r="F38" t="s">
        <v>191</v>
      </c>
      <c r="G38" s="28" t="s">
        <v>283</v>
      </c>
      <c r="H38" s="120">
        <v>1</v>
      </c>
    </row>
    <row r="39" spans="3:8" x14ac:dyDescent="0.25">
      <c r="C39" s="88"/>
      <c r="F39" t="s">
        <v>192</v>
      </c>
      <c r="G39" s="28" t="s">
        <v>283</v>
      </c>
      <c r="H39" s="120">
        <v>1.0029999999999999</v>
      </c>
    </row>
    <row r="40" spans="3:8" x14ac:dyDescent="0.25">
      <c r="C40" s="88"/>
      <c r="F40" t="s">
        <v>193</v>
      </c>
      <c r="G40" s="28" t="s">
        <v>283</v>
      </c>
      <c r="H40" s="120">
        <v>1.006</v>
      </c>
    </row>
    <row r="41" spans="3:8" x14ac:dyDescent="0.25">
      <c r="C41" s="88"/>
      <c r="F41" t="s">
        <v>194</v>
      </c>
      <c r="G41" s="28" t="s">
        <v>283</v>
      </c>
      <c r="H41" s="120">
        <v>1.014</v>
      </c>
    </row>
    <row r="42" spans="3:8" x14ac:dyDescent="0.25">
      <c r="C42" s="88"/>
      <c r="F42" t="s">
        <v>195</v>
      </c>
      <c r="G42" s="28" t="s">
        <v>283</v>
      </c>
      <c r="H42" s="120">
        <v>1.02</v>
      </c>
    </row>
    <row r="43" spans="3:8" x14ac:dyDescent="0.25">
      <c r="C43" s="88"/>
      <c r="F43" t="s">
        <v>196</v>
      </c>
      <c r="G43" s="28" t="s">
        <v>283</v>
      </c>
      <c r="H43" s="120">
        <v>1.02</v>
      </c>
    </row>
    <row r="44" spans="3:8" x14ac:dyDescent="0.25">
      <c r="C44" s="88"/>
      <c r="F44" t="s">
        <v>197</v>
      </c>
      <c r="G44" s="28" t="s">
        <v>283</v>
      </c>
      <c r="H44" s="120">
        <v>1.036</v>
      </c>
    </row>
    <row r="45" spans="3:8" x14ac:dyDescent="0.25">
      <c r="C45" s="88"/>
      <c r="F45" t="s">
        <v>198</v>
      </c>
      <c r="G45" s="28" t="s">
        <v>283</v>
      </c>
      <c r="H45" s="120">
        <v>1.0469999999999999</v>
      </c>
    </row>
    <row r="46" spans="3:8" x14ac:dyDescent="0.25">
      <c r="C46" s="88"/>
      <c r="F46" t="s">
        <v>199</v>
      </c>
      <c r="G46" s="28" t="s">
        <v>283</v>
      </c>
      <c r="H46" s="120">
        <v>1.0780000000000001</v>
      </c>
    </row>
    <row r="47" spans="3:8" x14ac:dyDescent="0.25">
      <c r="C47" s="88"/>
      <c r="F47" t="s">
        <v>376</v>
      </c>
      <c r="G47" s="28" t="s">
        <v>283</v>
      </c>
      <c r="H47" s="79"/>
    </row>
    <row r="48" spans="3:8" x14ac:dyDescent="0.25">
      <c r="C48" s="88"/>
      <c r="F48" s="37" t="s">
        <v>377</v>
      </c>
      <c r="G48" s="67" t="s">
        <v>283</v>
      </c>
      <c r="H48" s="81"/>
    </row>
    <row r="49" spans="3:8" x14ac:dyDescent="0.25">
      <c r="C49" s="88"/>
      <c r="F49" s="2"/>
      <c r="H49" s="89"/>
    </row>
    <row r="50" spans="3:8" x14ac:dyDescent="0.25">
      <c r="C50" s="88"/>
      <c r="E50" s="88" t="s">
        <v>584</v>
      </c>
      <c r="H50" s="89"/>
    </row>
    <row r="51" spans="3:8" x14ac:dyDescent="0.25">
      <c r="C51" s="88"/>
      <c r="E51" s="29"/>
      <c r="F51" s="23" t="s">
        <v>189</v>
      </c>
      <c r="G51" s="23" t="s">
        <v>585</v>
      </c>
      <c r="H51" s="83"/>
    </row>
    <row r="52" spans="3:8" x14ac:dyDescent="0.25">
      <c r="C52" s="88"/>
      <c r="E52" s="29"/>
      <c r="F52" t="s">
        <v>191</v>
      </c>
      <c r="G52" t="s">
        <v>585</v>
      </c>
      <c r="H52" s="79"/>
    </row>
    <row r="53" spans="3:8" x14ac:dyDescent="0.25">
      <c r="C53" s="88"/>
      <c r="E53" s="29"/>
      <c r="F53" t="s">
        <v>192</v>
      </c>
      <c r="G53" t="s">
        <v>585</v>
      </c>
      <c r="H53" s="120">
        <f t="array" ref="H53:H60">TRANSPOSE('Unit costs'!L114:S114)</f>
        <v>5.3072976336259448</v>
      </c>
    </row>
    <row r="54" spans="3:8" x14ac:dyDescent="0.25">
      <c r="C54" s="88"/>
      <c r="E54" s="29"/>
      <c r="F54" t="s">
        <v>193</v>
      </c>
      <c r="G54" t="s">
        <v>585</v>
      </c>
      <c r="H54" s="120">
        <v>3.0069632283721806</v>
      </c>
    </row>
    <row r="55" spans="3:8" x14ac:dyDescent="0.25">
      <c r="C55" s="88"/>
      <c r="E55" s="29"/>
      <c r="F55" t="s">
        <v>194</v>
      </c>
      <c r="G55" t="s">
        <v>585</v>
      </c>
      <c r="H55" s="120">
        <v>3.744236265234969</v>
      </c>
    </row>
    <row r="56" spans="3:8" x14ac:dyDescent="0.25">
      <c r="C56" s="88"/>
      <c r="E56" s="29"/>
      <c r="F56" t="s">
        <v>195</v>
      </c>
      <c r="G56" t="s">
        <v>585</v>
      </c>
      <c r="H56" s="120">
        <v>6.0590481957424744</v>
      </c>
    </row>
    <row r="57" spans="3:8" x14ac:dyDescent="0.25">
      <c r="C57" s="88"/>
      <c r="E57" s="29"/>
      <c r="F57" t="s">
        <v>196</v>
      </c>
      <c r="G57" t="s">
        <v>585</v>
      </c>
      <c r="H57" s="120">
        <v>6.2886236273536662</v>
      </c>
    </row>
    <row r="58" spans="3:8" x14ac:dyDescent="0.25">
      <c r="C58" s="88"/>
      <c r="E58" s="29"/>
      <c r="F58" t="s">
        <v>197</v>
      </c>
      <c r="G58" t="s">
        <v>585</v>
      </c>
      <c r="H58" s="120">
        <v>13.113997751870265</v>
      </c>
    </row>
    <row r="59" spans="3:8" x14ac:dyDescent="0.25">
      <c r="C59" s="88"/>
      <c r="E59" s="29"/>
      <c r="F59" t="s">
        <v>198</v>
      </c>
      <c r="G59" t="s">
        <v>585</v>
      </c>
      <c r="H59" s="120">
        <v>6.0666985535140832</v>
      </c>
    </row>
    <row r="60" spans="3:8" x14ac:dyDescent="0.25">
      <c r="C60" s="88"/>
      <c r="E60" s="29"/>
      <c r="F60" t="s">
        <v>199</v>
      </c>
      <c r="G60" t="s">
        <v>585</v>
      </c>
      <c r="H60" s="120">
        <v>12.450213812197704</v>
      </c>
    </row>
    <row r="61" spans="3:8" x14ac:dyDescent="0.25">
      <c r="C61" s="88"/>
      <c r="E61" s="29"/>
      <c r="F61" t="s">
        <v>376</v>
      </c>
      <c r="G61" t="s">
        <v>585</v>
      </c>
      <c r="H61" s="79"/>
    </row>
    <row r="62" spans="3:8" x14ac:dyDescent="0.25">
      <c r="C62" s="88"/>
      <c r="E62" s="29"/>
      <c r="F62" s="37" t="s">
        <v>377</v>
      </c>
      <c r="G62" s="37" t="s">
        <v>585</v>
      </c>
      <c r="H62" s="81"/>
    </row>
    <row r="63" spans="3:8" x14ac:dyDescent="0.25">
      <c r="C63" s="88"/>
      <c r="D63"/>
      <c r="E63" s="29"/>
      <c r="H63" s="89"/>
    </row>
    <row r="64" spans="3:8" x14ac:dyDescent="0.25">
      <c r="C64" s="88"/>
      <c r="E64" s="88" t="s">
        <v>603</v>
      </c>
      <c r="H64" s="89"/>
    </row>
    <row r="65" spans="3:25" x14ac:dyDescent="0.25">
      <c r="C65" s="88"/>
      <c r="F65" s="23" t="s">
        <v>189</v>
      </c>
      <c r="G65" s="23" t="s">
        <v>585</v>
      </c>
      <c r="H65" s="124">
        <f t="array" ref="H65:H74">TRANSPOSE('Unit costs'!J115:S115)</f>
        <v>3.0960485692212529</v>
      </c>
    </row>
    <row r="66" spans="3:25" x14ac:dyDescent="0.25">
      <c r="C66" s="88"/>
      <c r="F66" t="s">
        <v>191</v>
      </c>
      <c r="G66" t="s">
        <v>585</v>
      </c>
      <c r="H66" s="120">
        <v>0</v>
      </c>
    </row>
    <row r="67" spans="3:25" x14ac:dyDescent="0.25">
      <c r="C67" s="88"/>
      <c r="F67" t="s">
        <v>192</v>
      </c>
      <c r="G67" t="s">
        <v>585</v>
      </c>
      <c r="H67" s="120">
        <v>3.3696098564248564</v>
      </c>
    </row>
    <row r="68" spans="3:25" x14ac:dyDescent="0.25">
      <c r="C68" s="88"/>
      <c r="F68" t="s">
        <v>193</v>
      </c>
      <c r="G68" t="s">
        <v>585</v>
      </c>
      <c r="H68" s="120">
        <v>1.9091246867396099</v>
      </c>
    </row>
    <row r="69" spans="3:25" x14ac:dyDescent="0.25">
      <c r="C69" s="88"/>
      <c r="F69" t="s">
        <v>194</v>
      </c>
      <c r="G69" t="s">
        <v>585</v>
      </c>
      <c r="H69" s="120">
        <v>2.3772202531440612</v>
      </c>
    </row>
    <row r="70" spans="3:25" x14ac:dyDescent="0.25">
      <c r="C70" s="88"/>
      <c r="F70" t="s">
        <v>195</v>
      </c>
      <c r="G70" t="s">
        <v>585</v>
      </c>
      <c r="H70" s="120">
        <v>3.8468972215862798</v>
      </c>
    </row>
    <row r="71" spans="3:25" x14ac:dyDescent="0.25">
      <c r="C71" s="88"/>
      <c r="F71" t="s">
        <v>196</v>
      </c>
      <c r="G71" t="s">
        <v>585</v>
      </c>
      <c r="H71" s="120">
        <v>3.9926549481265847</v>
      </c>
    </row>
    <row r="72" spans="3:25" x14ac:dyDescent="0.25">
      <c r="C72" s="88"/>
      <c r="F72" t="s">
        <v>197</v>
      </c>
      <c r="G72" t="s">
        <v>585</v>
      </c>
      <c r="H72" s="120">
        <v>8.3260934532600359</v>
      </c>
    </row>
    <row r="73" spans="3:25" x14ac:dyDescent="0.25">
      <c r="C73" s="88"/>
      <c r="F73" t="s">
        <v>198</v>
      </c>
      <c r="G73" t="s">
        <v>585</v>
      </c>
      <c r="H73" s="120">
        <v>3.8517544432331419</v>
      </c>
    </row>
    <row r="74" spans="3:25" x14ac:dyDescent="0.25">
      <c r="C74" s="88"/>
      <c r="F74" t="s">
        <v>199</v>
      </c>
      <c r="G74" t="s">
        <v>585</v>
      </c>
      <c r="H74" s="120">
        <v>7.9046562058959582</v>
      </c>
    </row>
    <row r="75" spans="3:25" x14ac:dyDescent="0.25">
      <c r="C75" s="88"/>
      <c r="F75" t="s">
        <v>376</v>
      </c>
      <c r="G75" t="s">
        <v>585</v>
      </c>
      <c r="H75" s="79"/>
    </row>
    <row r="76" spans="3:25" x14ac:dyDescent="0.25">
      <c r="C76" s="88"/>
      <c r="F76" s="37" t="s">
        <v>377</v>
      </c>
      <c r="G76" s="37" t="s">
        <v>585</v>
      </c>
      <c r="H76" s="81"/>
    </row>
    <row r="77" spans="3:25" x14ac:dyDescent="0.25">
      <c r="C77" s="88"/>
      <c r="F77" s="2"/>
    </row>
    <row r="78" spans="3:25" x14ac:dyDescent="0.25">
      <c r="E78" s="32" t="s">
        <v>408</v>
      </c>
      <c r="F78" s="2"/>
    </row>
    <row r="79" spans="3:25" x14ac:dyDescent="0.25">
      <c r="E79" s="29" t="s">
        <v>401</v>
      </c>
    </row>
    <row r="80" spans="3:25" x14ac:dyDescent="0.25">
      <c r="C80" s="88"/>
      <c r="F80" s="23" t="s">
        <v>189</v>
      </c>
      <c r="G80" s="64" t="s">
        <v>283</v>
      </c>
      <c r="H80" s="208"/>
      <c r="I80" s="208"/>
      <c r="J80" s="124">
        <f t="array" ref="J80:Y89">TRANSPOSE('Load &amp; loss characteristics'!J145:S160)</f>
        <v>1.0780000000000001</v>
      </c>
      <c r="K80" s="124">
        <v>1.0780000000000001</v>
      </c>
      <c r="L80" s="124">
        <v>1.0780000000000001</v>
      </c>
      <c r="M80" s="124">
        <v>1.0780000000000001</v>
      </c>
      <c r="N80" s="124">
        <v>1.0780000000000001</v>
      </c>
      <c r="O80" s="124">
        <v>1.0469999999999999</v>
      </c>
      <c r="P80" s="124">
        <v>1.036</v>
      </c>
      <c r="Q80" s="124">
        <v>1.0780000000000001</v>
      </c>
      <c r="R80" s="124">
        <v>-1.0780000000000001</v>
      </c>
      <c r="S80" s="124">
        <v>-1.0469999999999999</v>
      </c>
      <c r="T80" s="124">
        <v>-1.0780000000000001</v>
      </c>
      <c r="U80" s="124">
        <v>-1.0780000000000001</v>
      </c>
      <c r="V80" s="124">
        <v>-1.0469999999999999</v>
      </c>
      <c r="W80" s="124">
        <v>-1.0469999999999999</v>
      </c>
      <c r="X80" s="124">
        <v>-1.036</v>
      </c>
      <c r="Y80" s="124">
        <v>-1.036</v>
      </c>
    </row>
    <row r="81" spans="3:42" x14ac:dyDescent="0.25">
      <c r="C81" s="88"/>
      <c r="F81" t="s">
        <v>191</v>
      </c>
      <c r="G81" s="28" t="s">
        <v>283</v>
      </c>
      <c r="H81" s="209"/>
      <c r="I81" s="209"/>
      <c r="J81" s="120">
        <v>1.0780000000000001</v>
      </c>
      <c r="K81" s="120">
        <v>1.0780000000000001</v>
      </c>
      <c r="L81" s="120">
        <v>1.0780000000000001</v>
      </c>
      <c r="M81" s="120">
        <v>1.0780000000000001</v>
      </c>
      <c r="N81" s="120">
        <v>1.0780000000000001</v>
      </c>
      <c r="O81" s="120">
        <v>1.0469999999999999</v>
      </c>
      <c r="P81" s="120">
        <v>1.036</v>
      </c>
      <c r="Q81" s="120">
        <v>1.0780000000000001</v>
      </c>
      <c r="R81" s="120">
        <v>-1.0780000000000001</v>
      </c>
      <c r="S81" s="120">
        <v>-1.0469999999999999</v>
      </c>
      <c r="T81" s="120">
        <v>-1.0780000000000001</v>
      </c>
      <c r="U81" s="120">
        <v>-1.0780000000000001</v>
      </c>
      <c r="V81" s="120">
        <v>-1.0469999999999999</v>
      </c>
      <c r="W81" s="120">
        <v>-1.0469999999999999</v>
      </c>
      <c r="X81" s="120">
        <v>-1.036</v>
      </c>
      <c r="Y81" s="120">
        <v>-1.036</v>
      </c>
    </row>
    <row r="82" spans="3:42" x14ac:dyDescent="0.25">
      <c r="C82" s="88"/>
      <c r="F82" t="s">
        <v>192</v>
      </c>
      <c r="G82" s="28" t="s">
        <v>283</v>
      </c>
      <c r="H82" s="209"/>
      <c r="I82" s="209"/>
      <c r="J82" s="120">
        <v>1.0780000000000001</v>
      </c>
      <c r="K82" s="120">
        <v>1.0780000000000001</v>
      </c>
      <c r="L82" s="120">
        <v>1.0780000000000001</v>
      </c>
      <c r="M82" s="120">
        <v>1.0780000000000001</v>
      </c>
      <c r="N82" s="120">
        <v>1.0780000000000001</v>
      </c>
      <c r="O82" s="120">
        <v>1.0469999999999999</v>
      </c>
      <c r="P82" s="120">
        <v>1.036</v>
      </c>
      <c r="Q82" s="120">
        <v>1.0780000000000001</v>
      </c>
      <c r="R82" s="120">
        <v>-1.0780000000000001</v>
      </c>
      <c r="S82" s="120">
        <v>-1.0469999999999999</v>
      </c>
      <c r="T82" s="120">
        <v>-1.0780000000000001</v>
      </c>
      <c r="U82" s="120">
        <v>-1.0780000000000001</v>
      </c>
      <c r="V82" s="120">
        <v>-1.0469999999999999</v>
      </c>
      <c r="W82" s="120">
        <v>-1.0469999999999999</v>
      </c>
      <c r="X82" s="120">
        <v>-1.036</v>
      </c>
      <c r="Y82" s="120">
        <v>-1.036</v>
      </c>
    </row>
    <row r="83" spans="3:42" x14ac:dyDescent="0.25">
      <c r="C83" s="88"/>
      <c r="F83" t="s">
        <v>193</v>
      </c>
      <c r="G83" s="28" t="s">
        <v>283</v>
      </c>
      <c r="H83" s="209"/>
      <c r="I83" s="209"/>
      <c r="J83" s="120">
        <v>0.99710219855719762</v>
      </c>
      <c r="K83" s="120">
        <v>0.99710219855719762</v>
      </c>
      <c r="L83" s="120">
        <v>0.99710219855719762</v>
      </c>
      <c r="M83" s="120">
        <v>0.99710219855719762</v>
      </c>
      <c r="N83" s="120">
        <v>0.99710219855719762</v>
      </c>
      <c r="O83" s="120">
        <v>0.96842857318124842</v>
      </c>
      <c r="P83" s="120">
        <v>0.95825406095107302</v>
      </c>
      <c r="Q83" s="120">
        <v>0.99710219855719762</v>
      </c>
      <c r="R83" s="120">
        <v>-0.99710219855719762</v>
      </c>
      <c r="S83" s="120">
        <v>-0.96842857318124842</v>
      </c>
      <c r="T83" s="120">
        <v>-0.99710219855719762</v>
      </c>
      <c r="U83" s="120">
        <v>-0.99710219855719762</v>
      </c>
      <c r="V83" s="120">
        <v>-0.96842857318124842</v>
      </c>
      <c r="W83" s="120">
        <v>-0.96842857318124842</v>
      </c>
      <c r="X83" s="120">
        <v>-0.95825406095107302</v>
      </c>
      <c r="Y83" s="120">
        <v>-0.95825406095107302</v>
      </c>
    </row>
    <row r="84" spans="3:42" x14ac:dyDescent="0.25">
      <c r="C84" s="88"/>
      <c r="F84" t="s">
        <v>194</v>
      </c>
      <c r="G84" s="28" t="s">
        <v>283</v>
      </c>
      <c r="H84" s="209"/>
      <c r="I84" s="209"/>
      <c r="J84" s="120">
        <v>0.99710219855719762</v>
      </c>
      <c r="K84" s="120">
        <v>0.99710219855719762</v>
      </c>
      <c r="L84" s="120">
        <v>0.99710219855719762</v>
      </c>
      <c r="M84" s="120">
        <v>0.99710219855719762</v>
      </c>
      <c r="N84" s="120">
        <v>0.99710219855719762</v>
      </c>
      <c r="O84" s="120">
        <v>0.96842857318124842</v>
      </c>
      <c r="P84" s="120">
        <v>0.95825406095107302</v>
      </c>
      <c r="Q84" s="120">
        <v>0.99710219855719762</v>
      </c>
      <c r="R84" s="120">
        <v>-0.99710219855719762</v>
      </c>
      <c r="S84" s="120">
        <v>-0.96842857318124842</v>
      </c>
      <c r="T84" s="120">
        <v>-0.99710219855719762</v>
      </c>
      <c r="U84" s="120">
        <v>-0.99710219855719762</v>
      </c>
      <c r="V84" s="120">
        <v>-0.96842857318124842</v>
      </c>
      <c r="W84" s="120">
        <v>-0.96842857318124842</v>
      </c>
      <c r="X84" s="120">
        <v>-0.95825406095107302</v>
      </c>
      <c r="Y84" s="120">
        <v>-0.95825406095107302</v>
      </c>
    </row>
    <row r="85" spans="3:42" x14ac:dyDescent="0.25">
      <c r="C85" s="88"/>
      <c r="F85" t="s">
        <v>195</v>
      </c>
      <c r="G85" s="28" t="s">
        <v>283</v>
      </c>
      <c r="H85" s="209"/>
      <c r="I85" s="209"/>
      <c r="J85" s="120">
        <v>0.99710219855719762</v>
      </c>
      <c r="K85" s="120">
        <v>0.99710219855719762</v>
      </c>
      <c r="L85" s="120">
        <v>0.99710219855719762</v>
      </c>
      <c r="M85" s="120">
        <v>0.99710219855719762</v>
      </c>
      <c r="N85" s="120">
        <v>0.99710219855719762</v>
      </c>
      <c r="O85" s="120">
        <v>0.96842857318124842</v>
      </c>
      <c r="P85" s="120">
        <v>0.95825406095107302</v>
      </c>
      <c r="Q85" s="120">
        <v>0.99710219855719762</v>
      </c>
      <c r="R85" s="120">
        <v>-0.99710219855719762</v>
      </c>
      <c r="S85" s="120">
        <v>-0.96842857318124842</v>
      </c>
      <c r="T85" s="120">
        <v>-0.99710219855719762</v>
      </c>
      <c r="U85" s="120">
        <v>-0.99710219855719762</v>
      </c>
      <c r="V85" s="120">
        <v>-0.96842857318124842</v>
      </c>
      <c r="W85" s="120">
        <v>-0.96842857318124842</v>
      </c>
      <c r="X85" s="120">
        <v>-0.95825406095107302</v>
      </c>
      <c r="Y85" s="120">
        <v>-0.95825406095107302</v>
      </c>
    </row>
    <row r="86" spans="3:42" x14ac:dyDescent="0.25">
      <c r="C86" s="88"/>
      <c r="F86" t="s">
        <v>196</v>
      </c>
      <c r="G86" s="28" t="s">
        <v>283</v>
      </c>
      <c r="H86" s="209"/>
      <c r="I86" s="209"/>
      <c r="J86" s="120">
        <v>8.0897801442802481E-2</v>
      </c>
      <c r="K86" s="120">
        <v>8.0897801442802481E-2</v>
      </c>
      <c r="L86" s="120">
        <v>8.0897801442802481E-2</v>
      </c>
      <c r="M86" s="120">
        <v>8.0897801442802481E-2</v>
      </c>
      <c r="N86" s="120">
        <v>8.0897801442802481E-2</v>
      </c>
      <c r="O86" s="120">
        <v>7.8571426818751552E-2</v>
      </c>
      <c r="P86" s="120">
        <v>7.7745939048927057E-2</v>
      </c>
      <c r="Q86" s="120">
        <v>8.0897801442802481E-2</v>
      </c>
      <c r="R86" s="120">
        <v>-8.0897801442802481E-2</v>
      </c>
      <c r="S86" s="120">
        <v>-7.8571426818751552E-2</v>
      </c>
      <c r="T86" s="120">
        <v>-8.0897801442802481E-2</v>
      </c>
      <c r="U86" s="120">
        <v>-8.0897801442802481E-2</v>
      </c>
      <c r="V86" s="120">
        <v>-7.8571426818751552E-2</v>
      </c>
      <c r="W86" s="120">
        <v>-7.8571426818751552E-2</v>
      </c>
      <c r="X86" s="120">
        <v>-7.7745939048927057E-2</v>
      </c>
      <c r="Y86" s="120">
        <v>-7.7745939048927057E-2</v>
      </c>
    </row>
    <row r="87" spans="3:42" x14ac:dyDescent="0.25">
      <c r="C87" s="88"/>
      <c r="F87" t="s">
        <v>197</v>
      </c>
      <c r="G87" s="28" t="s">
        <v>283</v>
      </c>
      <c r="H87" s="209"/>
      <c r="I87" s="209"/>
      <c r="J87" s="120">
        <v>1.0780000000000001</v>
      </c>
      <c r="K87" s="120">
        <v>1.0780000000000001</v>
      </c>
      <c r="L87" s="120">
        <v>1.0780000000000001</v>
      </c>
      <c r="M87" s="120">
        <v>1.0780000000000001</v>
      </c>
      <c r="N87" s="120">
        <v>1.0780000000000001</v>
      </c>
      <c r="O87" s="120">
        <v>1.0469999999999999</v>
      </c>
      <c r="P87" s="120">
        <v>1.036</v>
      </c>
      <c r="Q87" s="120">
        <v>1.0780000000000001</v>
      </c>
      <c r="R87" s="120">
        <v>-1.0780000000000001</v>
      </c>
      <c r="S87" s="120">
        <v>-1.0469999999999999</v>
      </c>
      <c r="T87" s="120">
        <v>-1.0780000000000001</v>
      </c>
      <c r="U87" s="120">
        <v>-1.0780000000000001</v>
      </c>
      <c r="V87" s="120">
        <v>-1.0469999999999999</v>
      </c>
      <c r="W87" s="120">
        <v>-1.0469999999999999</v>
      </c>
      <c r="X87" s="120">
        <v>0</v>
      </c>
      <c r="Y87" s="120">
        <v>0</v>
      </c>
    </row>
    <row r="88" spans="3:42" x14ac:dyDescent="0.25">
      <c r="C88" s="88"/>
      <c r="F88" t="s">
        <v>198</v>
      </c>
      <c r="G88" s="28" t="s">
        <v>283</v>
      </c>
      <c r="H88" s="209"/>
      <c r="I88" s="209"/>
      <c r="J88" s="120">
        <v>1.0780000000000001</v>
      </c>
      <c r="K88" s="120">
        <v>1.0780000000000001</v>
      </c>
      <c r="L88" s="120">
        <v>1.0780000000000001</v>
      </c>
      <c r="M88" s="120">
        <v>1.0780000000000001</v>
      </c>
      <c r="N88" s="120">
        <v>1.0780000000000001</v>
      </c>
      <c r="O88" s="120">
        <v>1.0469999999999999</v>
      </c>
      <c r="P88" s="120">
        <v>0</v>
      </c>
      <c r="Q88" s="120">
        <v>1.0780000000000001</v>
      </c>
      <c r="R88" s="120">
        <v>-1.0780000000000001</v>
      </c>
      <c r="S88" s="120">
        <v>0</v>
      </c>
      <c r="T88" s="120">
        <v>-1.0780000000000001</v>
      </c>
      <c r="U88" s="120">
        <v>-1.0780000000000001</v>
      </c>
      <c r="V88" s="120">
        <v>0</v>
      </c>
      <c r="W88" s="120">
        <v>0</v>
      </c>
      <c r="X88" s="120">
        <v>0</v>
      </c>
      <c r="Y88" s="120">
        <v>0</v>
      </c>
    </row>
    <row r="89" spans="3:42" x14ac:dyDescent="0.25">
      <c r="C89" s="88"/>
      <c r="F89" t="s">
        <v>199</v>
      </c>
      <c r="G89" s="28" t="s">
        <v>283</v>
      </c>
      <c r="H89" s="209"/>
      <c r="I89" s="209"/>
      <c r="J89" s="120">
        <v>1.0780000000000001</v>
      </c>
      <c r="K89" s="120">
        <v>1.0780000000000001</v>
      </c>
      <c r="L89" s="120">
        <v>1.0780000000000001</v>
      </c>
      <c r="M89" s="120">
        <v>1.0780000000000001</v>
      </c>
      <c r="N89" s="120">
        <v>1.0780000000000001</v>
      </c>
      <c r="O89" s="120">
        <v>0</v>
      </c>
      <c r="P89" s="120">
        <v>0</v>
      </c>
      <c r="Q89" s="120">
        <v>1.0780000000000001</v>
      </c>
      <c r="R89" s="120">
        <v>0</v>
      </c>
      <c r="S89" s="120">
        <v>0</v>
      </c>
      <c r="T89" s="120">
        <v>0</v>
      </c>
      <c r="U89" s="120">
        <v>0</v>
      </c>
      <c r="V89" s="120">
        <v>0</v>
      </c>
      <c r="W89" s="120">
        <v>0</v>
      </c>
      <c r="X89" s="120">
        <v>0</v>
      </c>
      <c r="Y89" s="120">
        <v>0</v>
      </c>
    </row>
    <row r="90" spans="3:42" x14ac:dyDescent="0.25">
      <c r="C90" s="88"/>
      <c r="F90" t="s">
        <v>376</v>
      </c>
      <c r="G90" s="28" t="s">
        <v>283</v>
      </c>
      <c r="J90" s="79"/>
      <c r="K90" s="79"/>
      <c r="L90" s="79"/>
      <c r="M90" s="79"/>
      <c r="N90" s="79"/>
      <c r="O90" s="79"/>
      <c r="P90" s="79"/>
      <c r="Q90" s="79"/>
      <c r="R90" s="79"/>
      <c r="S90" s="79"/>
      <c r="T90" s="79"/>
      <c r="U90" s="79"/>
      <c r="V90" s="79"/>
      <c r="W90" s="79"/>
      <c r="X90" s="79"/>
      <c r="Y90" s="79"/>
    </row>
    <row r="91" spans="3:42" x14ac:dyDescent="0.25">
      <c r="C91" s="88"/>
      <c r="F91" s="37" t="s">
        <v>377</v>
      </c>
      <c r="G91" s="67" t="s">
        <v>283</v>
      </c>
      <c r="H91" s="37"/>
      <c r="I91" s="37"/>
      <c r="J91" s="81"/>
      <c r="K91" s="81"/>
      <c r="L91" s="81"/>
      <c r="M91" s="81"/>
      <c r="N91" s="81"/>
      <c r="O91" s="81"/>
      <c r="P91" s="81"/>
      <c r="Q91" s="81"/>
      <c r="R91" s="81"/>
      <c r="S91" s="81"/>
      <c r="T91" s="81"/>
      <c r="U91" s="81"/>
      <c r="V91" s="81"/>
      <c r="W91" s="81"/>
      <c r="X91" s="81"/>
      <c r="Y91" s="81"/>
    </row>
    <row r="92" spans="3:42" x14ac:dyDescent="0.25">
      <c r="C92" s="88"/>
      <c r="F92" s="2"/>
    </row>
    <row r="93" spans="3:42" x14ac:dyDescent="0.25">
      <c r="D93"/>
      <c r="E93" s="32" t="s">
        <v>120</v>
      </c>
      <c r="H93" s="14"/>
      <c r="J93" s="63"/>
      <c r="L93" s="63"/>
      <c r="AP93" s="3"/>
    </row>
    <row r="94" spans="3:42" x14ac:dyDescent="0.25">
      <c r="C94" s="32"/>
      <c r="D94"/>
      <c r="E94"/>
      <c r="F94" s="23" t="s">
        <v>191</v>
      </c>
      <c r="G94" s="23" t="s">
        <v>167</v>
      </c>
      <c r="H94" s="129"/>
      <c r="I94" s="23"/>
      <c r="J94" s="107">
        <f>'Standing charge factors'!J44</f>
        <v>0</v>
      </c>
      <c r="K94" s="107">
        <f>'Standing charge factors'!K44</f>
        <v>0</v>
      </c>
      <c r="L94" s="107">
        <f>'Standing charge factors'!L44</f>
        <v>0</v>
      </c>
      <c r="M94" s="107">
        <f>'Standing charge factors'!M44</f>
        <v>0</v>
      </c>
      <c r="N94" s="107">
        <f>'Standing charge factors'!N44</f>
        <v>0</v>
      </c>
      <c r="O94" s="107">
        <f>'Standing charge factors'!O44</f>
        <v>0</v>
      </c>
      <c r="P94" s="107">
        <f>'Standing charge factors'!P44</f>
        <v>0</v>
      </c>
      <c r="Q94" s="107">
        <f>'Standing charge factors'!Q44</f>
        <v>0</v>
      </c>
      <c r="R94" s="107">
        <f>'Standing charge factors'!R44</f>
        <v>0</v>
      </c>
      <c r="S94" s="107">
        <f>'Standing charge factors'!S44</f>
        <v>0</v>
      </c>
      <c r="T94" s="107">
        <f>'Standing charge factors'!T44</f>
        <v>0</v>
      </c>
      <c r="U94" s="107">
        <f>'Standing charge factors'!U44</f>
        <v>0</v>
      </c>
      <c r="V94" s="107">
        <f>'Standing charge factors'!V44</f>
        <v>0</v>
      </c>
      <c r="W94" s="107">
        <f>'Standing charge factors'!W44</f>
        <v>0</v>
      </c>
      <c r="X94" s="107">
        <f>'Standing charge factors'!X44</f>
        <v>0</v>
      </c>
      <c r="Y94" s="107">
        <f>'Standing charge factors'!Y44</f>
        <v>0</v>
      </c>
      <c r="AP94" s="3"/>
    </row>
    <row r="95" spans="3:42" x14ac:dyDescent="0.25">
      <c r="C95" s="32"/>
      <c r="D95"/>
      <c r="E95"/>
      <c r="F95" t="s">
        <v>192</v>
      </c>
      <c r="G95" t="s">
        <v>167</v>
      </c>
      <c r="H95" s="63"/>
      <c r="J95" s="25">
        <f>'Standing charge factors'!J45</f>
        <v>0</v>
      </c>
      <c r="K95" s="25">
        <f>'Standing charge factors'!K45</f>
        <v>0</v>
      </c>
      <c r="L95" s="25">
        <f>'Standing charge factors'!L45</f>
        <v>0</v>
      </c>
      <c r="M95" s="25">
        <f>'Standing charge factors'!M45</f>
        <v>0</v>
      </c>
      <c r="N95" s="25">
        <f>'Standing charge factors'!N45</f>
        <v>0</v>
      </c>
      <c r="O95" s="25">
        <f>'Standing charge factors'!O45</f>
        <v>0</v>
      </c>
      <c r="P95" s="25">
        <f>'Standing charge factors'!P45</f>
        <v>1.5008868542263909E-2</v>
      </c>
      <c r="Q95" s="25">
        <f>'Standing charge factors'!Q45</f>
        <v>0</v>
      </c>
      <c r="R95" s="25">
        <f>'Standing charge factors'!R45</f>
        <v>0</v>
      </c>
      <c r="S95" s="25">
        <f>'Standing charge factors'!S45</f>
        <v>0</v>
      </c>
      <c r="T95" s="25">
        <f>'Standing charge factors'!T45</f>
        <v>0</v>
      </c>
      <c r="U95" s="25">
        <f>'Standing charge factors'!U45</f>
        <v>0</v>
      </c>
      <c r="V95" s="25">
        <f>'Standing charge factors'!V45</f>
        <v>0</v>
      </c>
      <c r="W95" s="25">
        <f>'Standing charge factors'!W45</f>
        <v>0</v>
      </c>
      <c r="X95" s="25">
        <f>'Standing charge factors'!X45</f>
        <v>0</v>
      </c>
      <c r="Y95" s="25">
        <f>'Standing charge factors'!Y45</f>
        <v>0</v>
      </c>
      <c r="AP95" s="3"/>
    </row>
    <row r="96" spans="3:42" x14ac:dyDescent="0.25">
      <c r="C96" s="32"/>
      <c r="D96"/>
      <c r="E96"/>
      <c r="F96" t="s">
        <v>193</v>
      </c>
      <c r="G96" t="s">
        <v>167</v>
      </c>
      <c r="H96" s="63"/>
      <c r="J96" s="25">
        <f>'Standing charge factors'!J46</f>
        <v>0</v>
      </c>
      <c r="K96" s="25">
        <f>'Standing charge factors'!K46</f>
        <v>0</v>
      </c>
      <c r="L96" s="25">
        <f>'Standing charge factors'!L46</f>
        <v>0</v>
      </c>
      <c r="M96" s="25">
        <f>'Standing charge factors'!M46</f>
        <v>0</v>
      </c>
      <c r="N96" s="25">
        <f>'Standing charge factors'!N46</f>
        <v>0</v>
      </c>
      <c r="O96" s="25">
        <f>'Standing charge factors'!O46</f>
        <v>0</v>
      </c>
      <c r="P96" s="25">
        <f>'Standing charge factors'!P46</f>
        <v>0</v>
      </c>
      <c r="Q96" s="25">
        <f>'Standing charge factors'!Q46</f>
        <v>0</v>
      </c>
      <c r="R96" s="25">
        <f>'Standing charge factors'!R46</f>
        <v>0</v>
      </c>
      <c r="S96" s="25">
        <f>'Standing charge factors'!S46</f>
        <v>0</v>
      </c>
      <c r="T96" s="25">
        <f>'Standing charge factors'!T46</f>
        <v>0</v>
      </c>
      <c r="U96" s="25">
        <f>'Standing charge factors'!U46</f>
        <v>0</v>
      </c>
      <c r="V96" s="25">
        <f>'Standing charge factors'!V46</f>
        <v>0</v>
      </c>
      <c r="W96" s="25">
        <f>'Standing charge factors'!W46</f>
        <v>0</v>
      </c>
      <c r="X96" s="25">
        <f>'Standing charge factors'!X46</f>
        <v>0</v>
      </c>
      <c r="Y96" s="25">
        <f>'Standing charge factors'!Y46</f>
        <v>0</v>
      </c>
      <c r="AP96" s="3"/>
    </row>
    <row r="97" spans="3:42" x14ac:dyDescent="0.25">
      <c r="C97" s="32"/>
      <c r="D97"/>
      <c r="E97"/>
      <c r="F97" t="s">
        <v>194</v>
      </c>
      <c r="G97" t="s">
        <v>167</v>
      </c>
      <c r="H97" s="63"/>
      <c r="J97" s="25">
        <f>'Standing charge factors'!J47</f>
        <v>0</v>
      </c>
      <c r="K97" s="25">
        <f>'Standing charge factors'!K47</f>
        <v>0</v>
      </c>
      <c r="L97" s="25">
        <f>'Standing charge factors'!L47</f>
        <v>0</v>
      </c>
      <c r="M97" s="25">
        <f>'Standing charge factors'!M47</f>
        <v>0</v>
      </c>
      <c r="N97" s="25">
        <f>'Standing charge factors'!N47</f>
        <v>0</v>
      </c>
      <c r="O97" s="25">
        <f>'Standing charge factors'!O47</f>
        <v>0</v>
      </c>
      <c r="P97" s="25">
        <f>'Standing charge factors'!P47</f>
        <v>0.2</v>
      </c>
      <c r="Q97" s="25">
        <f>'Standing charge factors'!Q47</f>
        <v>0</v>
      </c>
      <c r="R97" s="25">
        <f>'Standing charge factors'!R47</f>
        <v>0</v>
      </c>
      <c r="S97" s="25">
        <f>'Standing charge factors'!S47</f>
        <v>0</v>
      </c>
      <c r="T97" s="25">
        <f>'Standing charge factors'!T47</f>
        <v>0</v>
      </c>
      <c r="U97" s="25">
        <f>'Standing charge factors'!U47</f>
        <v>0</v>
      </c>
      <c r="V97" s="25">
        <f>'Standing charge factors'!V47</f>
        <v>0</v>
      </c>
      <c r="W97" s="25">
        <f>'Standing charge factors'!W47</f>
        <v>0</v>
      </c>
      <c r="X97" s="25">
        <f>'Standing charge factors'!X47</f>
        <v>0</v>
      </c>
      <c r="Y97" s="25">
        <f>'Standing charge factors'!Y47</f>
        <v>0</v>
      </c>
      <c r="AP97" s="3"/>
    </row>
    <row r="98" spans="3:42" x14ac:dyDescent="0.25">
      <c r="C98" s="32"/>
      <c r="D98"/>
      <c r="E98"/>
      <c r="F98" t="s">
        <v>195</v>
      </c>
      <c r="G98" t="s">
        <v>167</v>
      </c>
      <c r="H98" s="63"/>
      <c r="J98" s="25">
        <f>'Standing charge factors'!J48</f>
        <v>0</v>
      </c>
      <c r="K98" s="25">
        <f>'Standing charge factors'!K48</f>
        <v>0</v>
      </c>
      <c r="L98" s="25">
        <f>'Standing charge factors'!L48</f>
        <v>0</v>
      </c>
      <c r="M98" s="25">
        <f>'Standing charge factors'!M48</f>
        <v>0</v>
      </c>
      <c r="N98" s="25">
        <f>'Standing charge factors'!N48</f>
        <v>0</v>
      </c>
      <c r="O98" s="25">
        <f>'Standing charge factors'!O48</f>
        <v>0</v>
      </c>
      <c r="P98" s="25">
        <f>'Standing charge factors'!P48</f>
        <v>1</v>
      </c>
      <c r="Q98" s="25">
        <f>'Standing charge factors'!Q48</f>
        <v>0</v>
      </c>
      <c r="R98" s="25">
        <f>'Standing charge factors'!R48</f>
        <v>0</v>
      </c>
      <c r="S98" s="25">
        <f>'Standing charge factors'!S48</f>
        <v>0</v>
      </c>
      <c r="T98" s="25">
        <f>'Standing charge factors'!T48</f>
        <v>0</v>
      </c>
      <c r="U98" s="25">
        <f>'Standing charge factors'!U48</f>
        <v>0</v>
      </c>
      <c r="V98" s="25">
        <f>'Standing charge factors'!V48</f>
        <v>0</v>
      </c>
      <c r="W98" s="25">
        <f>'Standing charge factors'!W48</f>
        <v>0</v>
      </c>
      <c r="X98" s="25">
        <f>'Standing charge factors'!X48</f>
        <v>0</v>
      </c>
      <c r="Y98" s="25">
        <f>'Standing charge factors'!Y48</f>
        <v>0</v>
      </c>
      <c r="AP98" s="3"/>
    </row>
    <row r="99" spans="3:42" x14ac:dyDescent="0.25">
      <c r="C99" s="32"/>
      <c r="D99"/>
      <c r="E99"/>
      <c r="F99" t="s">
        <v>196</v>
      </c>
      <c r="G99" t="s">
        <v>167</v>
      </c>
      <c r="H99" s="63"/>
      <c r="J99" s="25">
        <f>'Standing charge factors'!J49</f>
        <v>0</v>
      </c>
      <c r="K99" s="25">
        <f>'Standing charge factors'!K49</f>
        <v>0</v>
      </c>
      <c r="L99" s="25">
        <f>'Standing charge factors'!L49</f>
        <v>0</v>
      </c>
      <c r="M99" s="25">
        <f>'Standing charge factors'!M49</f>
        <v>0</v>
      </c>
      <c r="N99" s="25">
        <f>'Standing charge factors'!N49</f>
        <v>0</v>
      </c>
      <c r="O99" s="25">
        <f>'Standing charge factors'!O49</f>
        <v>0</v>
      </c>
      <c r="P99" s="25">
        <f>'Standing charge factors'!P49</f>
        <v>1</v>
      </c>
      <c r="Q99" s="25">
        <f>'Standing charge factors'!Q49</f>
        <v>0</v>
      </c>
      <c r="R99" s="25">
        <f>'Standing charge factors'!R49</f>
        <v>0</v>
      </c>
      <c r="S99" s="25">
        <f>'Standing charge factors'!S49</f>
        <v>0</v>
      </c>
      <c r="T99" s="25">
        <f>'Standing charge factors'!T49</f>
        <v>0</v>
      </c>
      <c r="U99" s="25">
        <f>'Standing charge factors'!U49</f>
        <v>0</v>
      </c>
      <c r="V99" s="25">
        <f>'Standing charge factors'!V49</f>
        <v>0</v>
      </c>
      <c r="W99" s="25">
        <f>'Standing charge factors'!W49</f>
        <v>0</v>
      </c>
      <c r="X99" s="25">
        <f>'Standing charge factors'!X49</f>
        <v>0</v>
      </c>
      <c r="Y99" s="25">
        <f>'Standing charge factors'!Y49</f>
        <v>0</v>
      </c>
      <c r="AP99" s="3"/>
    </row>
    <row r="100" spans="3:42" x14ac:dyDescent="0.25">
      <c r="C100" s="32"/>
      <c r="D100"/>
      <c r="E100"/>
      <c r="F100" t="s">
        <v>197</v>
      </c>
      <c r="G100" t="s">
        <v>167</v>
      </c>
      <c r="H100" s="63"/>
      <c r="J100" s="25">
        <f>'Standing charge factors'!J50</f>
        <v>0</v>
      </c>
      <c r="K100" s="25">
        <f>'Standing charge factors'!K50</f>
        <v>0</v>
      </c>
      <c r="L100" s="25">
        <f>'Standing charge factors'!L50</f>
        <v>0</v>
      </c>
      <c r="M100" s="25">
        <f>'Standing charge factors'!M50</f>
        <v>0</v>
      </c>
      <c r="N100" s="25">
        <f>'Standing charge factors'!N50</f>
        <v>0.2</v>
      </c>
      <c r="O100" s="25">
        <f>'Standing charge factors'!O50</f>
        <v>1</v>
      </c>
      <c r="P100" s="25">
        <f>'Standing charge factors'!P50</f>
        <v>1</v>
      </c>
      <c r="Q100" s="25">
        <f>'Standing charge factors'!Q50</f>
        <v>0</v>
      </c>
      <c r="R100" s="25">
        <f>'Standing charge factors'!R50</f>
        <v>0</v>
      </c>
      <c r="S100" s="25">
        <f>'Standing charge factors'!S50</f>
        <v>0</v>
      </c>
      <c r="T100" s="25">
        <f>'Standing charge factors'!T50</f>
        <v>0</v>
      </c>
      <c r="U100" s="25">
        <f>'Standing charge factors'!U50</f>
        <v>0</v>
      </c>
      <c r="V100" s="25">
        <f>'Standing charge factors'!V50</f>
        <v>0</v>
      </c>
      <c r="W100" s="25">
        <f>'Standing charge factors'!W50</f>
        <v>0</v>
      </c>
      <c r="X100" s="25">
        <f>'Standing charge factors'!X50</f>
        <v>0</v>
      </c>
      <c r="Y100" s="25">
        <f>'Standing charge factors'!Y50</f>
        <v>0</v>
      </c>
      <c r="AP100" s="3"/>
    </row>
    <row r="101" spans="3:42" x14ac:dyDescent="0.25">
      <c r="C101" s="32"/>
      <c r="D101"/>
      <c r="E101"/>
      <c r="F101" t="s">
        <v>198</v>
      </c>
      <c r="G101" t="s">
        <v>167</v>
      </c>
      <c r="H101" s="63"/>
      <c r="J101" s="25">
        <f>'Standing charge factors'!J51</f>
        <v>0</v>
      </c>
      <c r="K101" s="25">
        <f>'Standing charge factors'!K51</f>
        <v>0</v>
      </c>
      <c r="L101" s="25">
        <f>'Standing charge factors'!L51</f>
        <v>0</v>
      </c>
      <c r="M101" s="25">
        <f>'Standing charge factors'!M51</f>
        <v>0</v>
      </c>
      <c r="N101" s="25">
        <f>'Standing charge factors'!N51</f>
        <v>1</v>
      </c>
      <c r="O101" s="25">
        <f>'Standing charge factors'!O51</f>
        <v>1</v>
      </c>
      <c r="P101" s="25">
        <f>'Standing charge factors'!P51</f>
        <v>0</v>
      </c>
      <c r="Q101" s="25">
        <f>'Standing charge factors'!Q51</f>
        <v>0</v>
      </c>
      <c r="R101" s="25">
        <f>'Standing charge factors'!R51</f>
        <v>0</v>
      </c>
      <c r="S101" s="25">
        <f>'Standing charge factors'!S51</f>
        <v>0</v>
      </c>
      <c r="T101" s="25">
        <f>'Standing charge factors'!T51</f>
        <v>0</v>
      </c>
      <c r="U101" s="25">
        <f>'Standing charge factors'!U51</f>
        <v>0</v>
      </c>
      <c r="V101" s="25">
        <f>'Standing charge factors'!V51</f>
        <v>0</v>
      </c>
      <c r="W101" s="25">
        <f>'Standing charge factors'!W51</f>
        <v>0</v>
      </c>
      <c r="X101" s="25">
        <f>'Standing charge factors'!X51</f>
        <v>0</v>
      </c>
      <c r="Y101" s="25">
        <f>'Standing charge factors'!Y51</f>
        <v>0</v>
      </c>
      <c r="AP101" s="3"/>
    </row>
    <row r="102" spans="3:42" x14ac:dyDescent="0.25">
      <c r="C102" s="32"/>
      <c r="D102"/>
      <c r="E102"/>
      <c r="F102" s="37" t="s">
        <v>199</v>
      </c>
      <c r="G102" s="37" t="s">
        <v>167</v>
      </c>
      <c r="H102" s="130"/>
      <c r="I102" s="37"/>
      <c r="J102" s="141">
        <f>'Standing charge factors'!J52</f>
        <v>1</v>
      </c>
      <c r="K102" s="141">
        <f>'Standing charge factors'!K52</f>
        <v>1</v>
      </c>
      <c r="L102" s="141">
        <f>'Standing charge factors'!L52</f>
        <v>1</v>
      </c>
      <c r="M102" s="141">
        <f>'Standing charge factors'!M52</f>
        <v>1</v>
      </c>
      <c r="N102" s="141">
        <f>'Standing charge factors'!N52</f>
        <v>1</v>
      </c>
      <c r="O102" s="141">
        <f>'Standing charge factors'!O52</f>
        <v>0</v>
      </c>
      <c r="P102" s="141">
        <f>'Standing charge factors'!P52</f>
        <v>0</v>
      </c>
      <c r="Q102" s="141">
        <f>'Standing charge factors'!Q52</f>
        <v>0</v>
      </c>
      <c r="R102" s="141">
        <f>'Standing charge factors'!R52</f>
        <v>0</v>
      </c>
      <c r="S102" s="141">
        <f>'Standing charge factors'!S52</f>
        <v>0</v>
      </c>
      <c r="T102" s="141">
        <f>'Standing charge factors'!T52</f>
        <v>0</v>
      </c>
      <c r="U102" s="141">
        <f>'Standing charge factors'!U52</f>
        <v>0</v>
      </c>
      <c r="V102" s="141">
        <f>'Standing charge factors'!V52</f>
        <v>0</v>
      </c>
      <c r="W102" s="141">
        <f>'Standing charge factors'!W52</f>
        <v>0</v>
      </c>
      <c r="X102" s="141">
        <f>'Standing charge factors'!X52</f>
        <v>0</v>
      </c>
      <c r="Y102" s="141">
        <f>'Standing charge factors'!Y52</f>
        <v>0</v>
      </c>
      <c r="AP102" s="3"/>
    </row>
    <row r="103" spans="3:42" x14ac:dyDescent="0.25">
      <c r="C103" s="88"/>
      <c r="D103"/>
      <c r="F103" s="2"/>
    </row>
    <row r="104" spans="3:42" x14ac:dyDescent="0.25">
      <c r="E104" s="32" t="s">
        <v>695</v>
      </c>
    </row>
    <row r="105" spans="3:42" x14ac:dyDescent="0.25">
      <c r="C105" s="88"/>
      <c r="F105" s="23" t="s">
        <v>189</v>
      </c>
      <c r="G105" s="23" t="s">
        <v>167</v>
      </c>
      <c r="H105" s="208"/>
      <c r="I105" s="208"/>
      <c r="J105" s="65"/>
      <c r="K105" s="65"/>
      <c r="L105" s="65"/>
      <c r="M105" s="65"/>
      <c r="N105" s="65"/>
      <c r="O105" s="65"/>
      <c r="P105" s="65"/>
      <c r="Q105" s="65"/>
      <c r="R105" s="65"/>
      <c r="S105" s="65"/>
      <c r="T105" s="65"/>
      <c r="U105" s="65"/>
      <c r="V105" s="65"/>
      <c r="W105" s="65"/>
      <c r="X105" s="65"/>
      <c r="Y105" s="65"/>
    </row>
    <row r="106" spans="3:42" x14ac:dyDescent="0.25">
      <c r="C106" s="88"/>
      <c r="F106" t="s">
        <v>191</v>
      </c>
      <c r="G106" t="s">
        <v>167</v>
      </c>
      <c r="H106" s="209"/>
      <c r="I106" s="209"/>
      <c r="J106" s="66"/>
      <c r="K106" s="66"/>
      <c r="L106" s="66"/>
      <c r="M106" s="66"/>
      <c r="N106" s="66"/>
      <c r="O106" s="66"/>
      <c r="P106" s="66"/>
      <c r="Q106" s="66"/>
      <c r="R106" s="66"/>
      <c r="S106" s="66"/>
      <c r="T106" s="66"/>
      <c r="U106" s="66"/>
      <c r="V106" s="66"/>
      <c r="W106" s="66"/>
      <c r="X106" s="66"/>
      <c r="Y106" s="66"/>
    </row>
    <row r="107" spans="3:42" x14ac:dyDescent="0.25">
      <c r="C107" s="88"/>
      <c r="F107" t="s">
        <v>192</v>
      </c>
      <c r="G107" t="s">
        <v>167</v>
      </c>
      <c r="H107" s="209"/>
      <c r="I107" s="209"/>
      <c r="J107" s="25">
        <f t="array" ref="J107:Y114">TRANSPOSE('Customer contributions'!L51:S66)</f>
        <v>0</v>
      </c>
      <c r="K107" s="25">
        <v>0</v>
      </c>
      <c r="L107" s="25">
        <v>0</v>
      </c>
      <c r="M107" s="25">
        <v>0</v>
      </c>
      <c r="N107" s="25">
        <v>0</v>
      </c>
      <c r="O107" s="25">
        <v>0</v>
      </c>
      <c r="P107" s="25">
        <v>0</v>
      </c>
      <c r="Q107" s="25">
        <v>0</v>
      </c>
      <c r="R107" s="25">
        <v>0</v>
      </c>
      <c r="S107" s="25">
        <v>0</v>
      </c>
      <c r="T107" s="25">
        <v>0</v>
      </c>
      <c r="U107" s="25">
        <v>0</v>
      </c>
      <c r="V107" s="25">
        <v>0</v>
      </c>
      <c r="W107" s="25">
        <v>0</v>
      </c>
      <c r="X107" s="25">
        <v>0</v>
      </c>
      <c r="Y107" s="25">
        <v>0</v>
      </c>
    </row>
    <row r="108" spans="3:42" x14ac:dyDescent="0.25">
      <c r="C108" s="88"/>
      <c r="F108" t="s">
        <v>193</v>
      </c>
      <c r="G108" t="s">
        <v>167</v>
      </c>
      <c r="H108" s="209"/>
      <c r="I108" s="209"/>
      <c r="J108" s="25">
        <v>0</v>
      </c>
      <c r="K108" s="25">
        <v>0</v>
      </c>
      <c r="L108" s="25">
        <v>0</v>
      </c>
      <c r="M108" s="25">
        <v>0</v>
      </c>
      <c r="N108" s="25">
        <v>0</v>
      </c>
      <c r="O108" s="25">
        <v>0</v>
      </c>
      <c r="P108" s="25">
        <v>0</v>
      </c>
      <c r="Q108" s="25">
        <v>0</v>
      </c>
      <c r="R108" s="25">
        <v>0</v>
      </c>
      <c r="S108" s="25">
        <v>0</v>
      </c>
      <c r="T108" s="25">
        <v>0</v>
      </c>
      <c r="U108" s="25">
        <v>0</v>
      </c>
      <c r="V108" s="25">
        <v>0</v>
      </c>
      <c r="W108" s="25">
        <v>0</v>
      </c>
      <c r="X108" s="25">
        <v>0</v>
      </c>
      <c r="Y108" s="25">
        <v>0</v>
      </c>
    </row>
    <row r="109" spans="3:42" x14ac:dyDescent="0.25">
      <c r="C109" s="88"/>
      <c r="F109" t="s">
        <v>194</v>
      </c>
      <c r="G109" t="s">
        <v>167</v>
      </c>
      <c r="H109" s="209"/>
      <c r="I109" s="209"/>
      <c r="J109" s="25">
        <v>0</v>
      </c>
      <c r="K109" s="25">
        <v>0</v>
      </c>
      <c r="L109" s="25">
        <v>0</v>
      </c>
      <c r="M109" s="25">
        <v>0</v>
      </c>
      <c r="N109" s="25">
        <v>0</v>
      </c>
      <c r="O109" s="25">
        <v>0</v>
      </c>
      <c r="P109" s="25">
        <v>6.5420049562801799E-2</v>
      </c>
      <c r="Q109" s="25">
        <v>0</v>
      </c>
      <c r="R109" s="25">
        <v>0</v>
      </c>
      <c r="S109" s="25">
        <v>0</v>
      </c>
      <c r="T109" s="25">
        <v>0</v>
      </c>
      <c r="U109" s="25">
        <v>0</v>
      </c>
      <c r="V109" s="25">
        <v>0</v>
      </c>
      <c r="W109" s="25">
        <v>0</v>
      </c>
      <c r="X109" s="25">
        <v>6.5420049562801799E-2</v>
      </c>
      <c r="Y109" s="25">
        <v>6.5420049562801799E-2</v>
      </c>
    </row>
    <row r="110" spans="3:42" x14ac:dyDescent="0.25">
      <c r="C110" s="88"/>
      <c r="F110" t="s">
        <v>195</v>
      </c>
      <c r="G110" t="s">
        <v>167</v>
      </c>
      <c r="H110" s="209"/>
      <c r="I110" s="209"/>
      <c r="J110" s="25">
        <v>0</v>
      </c>
      <c r="K110" s="25">
        <v>0</v>
      </c>
      <c r="L110" s="25">
        <v>0</v>
      </c>
      <c r="M110" s="25">
        <v>0</v>
      </c>
      <c r="N110" s="25">
        <v>0</v>
      </c>
      <c r="O110" s="25">
        <v>0</v>
      </c>
      <c r="P110" s="25">
        <v>0.35162962287700078</v>
      </c>
      <c r="Q110" s="25">
        <v>0</v>
      </c>
      <c r="R110" s="25">
        <v>0</v>
      </c>
      <c r="S110" s="25">
        <v>0</v>
      </c>
      <c r="T110" s="25">
        <v>0</v>
      </c>
      <c r="U110" s="25">
        <v>0</v>
      </c>
      <c r="V110" s="25">
        <v>0</v>
      </c>
      <c r="W110" s="25">
        <v>0</v>
      </c>
      <c r="X110" s="25">
        <v>0.35162962287700078</v>
      </c>
      <c r="Y110" s="25">
        <v>0.35162962287700078</v>
      </c>
    </row>
    <row r="111" spans="3:42" x14ac:dyDescent="0.25">
      <c r="C111" s="88"/>
      <c r="F111" t="s">
        <v>196</v>
      </c>
      <c r="G111" t="s">
        <v>167</v>
      </c>
      <c r="H111" s="209"/>
      <c r="I111" s="209"/>
      <c r="J111" s="25">
        <v>0</v>
      </c>
      <c r="K111" s="25">
        <v>0</v>
      </c>
      <c r="L111" s="25">
        <v>0</v>
      </c>
      <c r="M111" s="25">
        <v>0</v>
      </c>
      <c r="N111" s="25">
        <v>0</v>
      </c>
      <c r="O111" s="25">
        <v>0</v>
      </c>
      <c r="P111" s="25">
        <v>0.35162962287700078</v>
      </c>
      <c r="Q111" s="25">
        <v>0</v>
      </c>
      <c r="R111" s="25">
        <v>0</v>
      </c>
      <c r="S111" s="25">
        <v>0</v>
      </c>
      <c r="T111" s="25">
        <v>0</v>
      </c>
      <c r="U111" s="25">
        <v>0</v>
      </c>
      <c r="V111" s="25">
        <v>0</v>
      </c>
      <c r="W111" s="25">
        <v>0</v>
      </c>
      <c r="X111" s="25">
        <v>0.35162962287700078</v>
      </c>
      <c r="Y111" s="25">
        <v>0.35162962287700078</v>
      </c>
    </row>
    <row r="112" spans="3:42" x14ac:dyDescent="0.25">
      <c r="C112" s="88"/>
      <c r="F112" t="s">
        <v>197</v>
      </c>
      <c r="G112" t="s">
        <v>167</v>
      </c>
      <c r="H112" s="209"/>
      <c r="I112" s="209"/>
      <c r="J112" s="25">
        <v>0.47913351897273304</v>
      </c>
      <c r="K112" s="25">
        <v>0.47913351897273304</v>
      </c>
      <c r="L112" s="25">
        <v>0.47913351897273304</v>
      </c>
      <c r="M112" s="25">
        <v>0.47913351897273304</v>
      </c>
      <c r="N112" s="25">
        <v>0.47913351897273304</v>
      </c>
      <c r="O112" s="25">
        <v>0.47913351897273304</v>
      </c>
      <c r="P112" s="25">
        <v>0.63783919619119978</v>
      </c>
      <c r="Q112" s="25">
        <v>0.47913351897273304</v>
      </c>
      <c r="R112" s="25">
        <v>0.47913351897273304</v>
      </c>
      <c r="S112" s="25">
        <v>0.47913351897273304</v>
      </c>
      <c r="T112" s="25">
        <v>0.47913351897273304</v>
      </c>
      <c r="U112" s="25">
        <v>0.47913351897273304</v>
      </c>
      <c r="V112" s="25">
        <v>0.47913351897273304</v>
      </c>
      <c r="W112" s="25">
        <v>0.47913351897273304</v>
      </c>
      <c r="X112" s="25">
        <v>0.63783919619119978</v>
      </c>
      <c r="Y112" s="25">
        <v>0.63783919619119978</v>
      </c>
    </row>
    <row r="113" spans="2:27" x14ac:dyDescent="0.25">
      <c r="C113" s="88"/>
      <c r="F113" t="s">
        <v>198</v>
      </c>
      <c r="G113" t="s">
        <v>167</v>
      </c>
      <c r="H113" s="209"/>
      <c r="I113" s="209"/>
      <c r="J113" s="25">
        <v>0.70892384564689981</v>
      </c>
      <c r="K113" s="25">
        <v>0.70892384564689981</v>
      </c>
      <c r="L113" s="25">
        <v>0.70892384564689981</v>
      </c>
      <c r="M113" s="25">
        <v>0.70892384564689981</v>
      </c>
      <c r="N113" s="25">
        <v>0.70892384564689981</v>
      </c>
      <c r="O113" s="25">
        <v>0.70892384564689981</v>
      </c>
      <c r="P113" s="25">
        <v>0</v>
      </c>
      <c r="Q113" s="25">
        <v>0.70892384564689981</v>
      </c>
      <c r="R113" s="25">
        <v>0.70892384564689981</v>
      </c>
      <c r="S113" s="25">
        <v>0.70892384564689981</v>
      </c>
      <c r="T113" s="25">
        <v>0.70892384564689981</v>
      </c>
      <c r="U113" s="25">
        <v>0.70892384564689981</v>
      </c>
      <c r="V113" s="25">
        <v>0.70892384564689981</v>
      </c>
      <c r="W113" s="25">
        <v>0.70892384564689981</v>
      </c>
      <c r="X113" s="25">
        <v>0</v>
      </c>
      <c r="Y113" s="25">
        <v>0</v>
      </c>
    </row>
    <row r="114" spans="2:27" x14ac:dyDescent="0.25">
      <c r="C114" s="88"/>
      <c r="F114" t="s">
        <v>199</v>
      </c>
      <c r="G114" t="s">
        <v>167</v>
      </c>
      <c r="H114" s="209"/>
      <c r="I114" s="209"/>
      <c r="J114" s="25">
        <v>0.93871417232106646</v>
      </c>
      <c r="K114" s="25">
        <v>0.93871417232106646</v>
      </c>
      <c r="L114" s="25">
        <v>0.93871417232106646</v>
      </c>
      <c r="M114" s="25">
        <v>0.93871417232106646</v>
      </c>
      <c r="N114" s="25">
        <v>0.93871417232106646</v>
      </c>
      <c r="O114" s="25">
        <v>0</v>
      </c>
      <c r="P114" s="25">
        <v>0</v>
      </c>
      <c r="Q114" s="25">
        <v>0.93871417232106646</v>
      </c>
      <c r="R114" s="25">
        <v>0.93871417232106646</v>
      </c>
      <c r="S114" s="25">
        <v>0</v>
      </c>
      <c r="T114" s="25">
        <v>0.93871417232106646</v>
      </c>
      <c r="U114" s="25">
        <v>0.93871417232106646</v>
      </c>
      <c r="V114" s="25">
        <v>0</v>
      </c>
      <c r="W114" s="25">
        <v>0</v>
      </c>
      <c r="X114" s="25">
        <v>0</v>
      </c>
      <c r="Y114" s="25">
        <v>0</v>
      </c>
    </row>
    <row r="115" spans="2:27" x14ac:dyDescent="0.25">
      <c r="C115" s="88"/>
      <c r="F115" t="s">
        <v>376</v>
      </c>
      <c r="G115" t="s">
        <v>167</v>
      </c>
      <c r="J115" s="66"/>
      <c r="K115" s="66"/>
      <c r="L115" s="66"/>
      <c r="M115" s="66"/>
      <c r="N115" s="66"/>
      <c r="O115" s="66"/>
      <c r="P115" s="66"/>
      <c r="Q115" s="66"/>
      <c r="R115" s="66"/>
      <c r="S115" s="66"/>
      <c r="T115" s="66"/>
      <c r="U115" s="66"/>
      <c r="V115" s="66"/>
      <c r="W115" s="66"/>
      <c r="X115" s="66"/>
      <c r="Y115" s="66"/>
    </row>
    <row r="116" spans="2:27" x14ac:dyDescent="0.25">
      <c r="C116" s="88"/>
      <c r="F116" s="37" t="s">
        <v>377</v>
      </c>
      <c r="G116" s="37" t="s">
        <v>167</v>
      </c>
      <c r="H116" s="37"/>
      <c r="I116" s="37"/>
      <c r="J116" s="68"/>
      <c r="K116" s="68"/>
      <c r="L116" s="68"/>
      <c r="M116" s="68"/>
      <c r="N116" s="68"/>
      <c r="O116" s="68"/>
      <c r="P116" s="68"/>
      <c r="Q116" s="68"/>
      <c r="R116" s="68"/>
      <c r="S116" s="68"/>
      <c r="T116" s="68"/>
      <c r="U116" s="68"/>
      <c r="V116" s="68"/>
      <c r="W116" s="68"/>
      <c r="X116" s="68"/>
      <c r="Y116" s="68"/>
    </row>
    <row r="117" spans="2:27" x14ac:dyDescent="0.25">
      <c r="C117" s="88"/>
      <c r="D117"/>
      <c r="F117" s="2"/>
    </row>
    <row r="118" spans="2:27" x14ac:dyDescent="0.25">
      <c r="D118"/>
      <c r="E118" s="32" t="s">
        <v>696</v>
      </c>
      <c r="F118" s="2"/>
      <c r="I118" t="s">
        <v>154</v>
      </c>
      <c r="AA118" t="s">
        <v>697</v>
      </c>
    </row>
    <row r="119" spans="2:27" x14ac:dyDescent="0.25">
      <c r="D119"/>
      <c r="E119" s="29" t="s">
        <v>698</v>
      </c>
      <c r="F119" s="2"/>
    </row>
    <row r="120" spans="2:27" x14ac:dyDescent="0.25">
      <c r="D120"/>
      <c r="E120" s="29" t="s">
        <v>699</v>
      </c>
      <c r="F120" s="2"/>
    </row>
    <row r="121" spans="2:27" x14ac:dyDescent="0.25">
      <c r="D121"/>
      <c r="F121" s="23" t="s">
        <v>700</v>
      </c>
      <c r="G121" s="23" t="s">
        <v>673</v>
      </c>
      <c r="H121" s="23"/>
      <c r="I121" s="23"/>
      <c r="J121" s="147">
        <f>'Fixed inputs'!J136</f>
        <v>0</v>
      </c>
      <c r="K121" s="147">
        <f>'Fixed inputs'!K136</f>
        <v>0</v>
      </c>
      <c r="L121" s="147">
        <f>'Fixed inputs'!L136</f>
        <v>0</v>
      </c>
      <c r="M121" s="147">
        <f>'Fixed inputs'!M136</f>
        <v>0</v>
      </c>
      <c r="N121" s="147">
        <f>'Fixed inputs'!N136</f>
        <v>1</v>
      </c>
      <c r="O121" s="147">
        <f>'Fixed inputs'!O136</f>
        <v>1</v>
      </c>
      <c r="P121" s="147">
        <f>'Fixed inputs'!P136</f>
        <v>1</v>
      </c>
      <c r="Q121" s="147">
        <f>'Fixed inputs'!Q136</f>
        <v>0</v>
      </c>
      <c r="R121" s="147">
        <f>'Fixed inputs'!R136</f>
        <v>0</v>
      </c>
      <c r="S121" s="147">
        <f>'Fixed inputs'!S136</f>
        <v>0</v>
      </c>
      <c r="T121" s="147">
        <f>'Fixed inputs'!T136</f>
        <v>0</v>
      </c>
      <c r="U121" s="147">
        <f>'Fixed inputs'!U136</f>
        <v>0</v>
      </c>
      <c r="V121" s="147">
        <f>'Fixed inputs'!V136</f>
        <v>0</v>
      </c>
      <c r="W121" s="147">
        <f>'Fixed inputs'!W136</f>
        <v>0</v>
      </c>
      <c r="X121" s="147">
        <f>'Fixed inputs'!X136</f>
        <v>0</v>
      </c>
      <c r="Y121" s="147">
        <f>'Fixed inputs'!Y136</f>
        <v>0</v>
      </c>
    </row>
    <row r="122" spans="2:27" x14ac:dyDescent="0.25">
      <c r="D122"/>
      <c r="F122" t="s">
        <v>701</v>
      </c>
      <c r="G122" t="s">
        <v>673</v>
      </c>
      <c r="J122" s="169">
        <f>'Fixed inputs'!J137</f>
        <v>0</v>
      </c>
      <c r="K122" s="169">
        <f>'Fixed inputs'!K137</f>
        <v>0</v>
      </c>
      <c r="L122" s="169">
        <f>'Fixed inputs'!L137</f>
        <v>0</v>
      </c>
      <c r="M122" s="169">
        <f>'Fixed inputs'!M137</f>
        <v>0</v>
      </c>
      <c r="N122" s="169">
        <f>'Fixed inputs'!N137</f>
        <v>1</v>
      </c>
      <c r="O122" s="169">
        <f>'Fixed inputs'!O137</f>
        <v>1</v>
      </c>
      <c r="P122" s="169">
        <f>'Fixed inputs'!P137</f>
        <v>1</v>
      </c>
      <c r="Q122" s="169">
        <f>'Fixed inputs'!Q137</f>
        <v>0</v>
      </c>
      <c r="R122" s="169">
        <f>'Fixed inputs'!R137</f>
        <v>0</v>
      </c>
      <c r="S122" s="169">
        <f>'Fixed inputs'!S137</f>
        <v>0</v>
      </c>
      <c r="T122" s="169">
        <f>'Fixed inputs'!T137</f>
        <v>0</v>
      </c>
      <c r="U122" s="169">
        <f>'Fixed inputs'!U137</f>
        <v>0</v>
      </c>
      <c r="V122" s="169">
        <f>'Fixed inputs'!V137</f>
        <v>0</v>
      </c>
      <c r="W122" s="169">
        <f>'Fixed inputs'!W137</f>
        <v>0</v>
      </c>
      <c r="X122" s="169">
        <f>'Fixed inputs'!X137</f>
        <v>0</v>
      </c>
      <c r="Y122" s="169">
        <f>'Fixed inputs'!Y137</f>
        <v>0</v>
      </c>
    </row>
    <row r="123" spans="2:27" x14ac:dyDescent="0.25">
      <c r="D123"/>
      <c r="F123" s="37" t="s">
        <v>227</v>
      </c>
      <c r="G123" s="37" t="s">
        <v>673</v>
      </c>
      <c r="H123" s="37"/>
      <c r="I123" s="37"/>
      <c r="J123" s="148">
        <f>'Fixed inputs'!J139</f>
        <v>1</v>
      </c>
      <c r="K123" s="148">
        <f>'Fixed inputs'!K139</f>
        <v>0</v>
      </c>
      <c r="L123" s="148">
        <f>'Fixed inputs'!L139</f>
        <v>1</v>
      </c>
      <c r="M123" s="148">
        <f>'Fixed inputs'!M139</f>
        <v>0</v>
      </c>
      <c r="N123" s="148">
        <f>'Fixed inputs'!N139</f>
        <v>0</v>
      </c>
      <c r="O123" s="148">
        <f>'Fixed inputs'!O139</f>
        <v>0</v>
      </c>
      <c r="P123" s="148">
        <f>'Fixed inputs'!P139</f>
        <v>0</v>
      </c>
      <c r="Q123" s="148">
        <f>'Fixed inputs'!Q139</f>
        <v>0</v>
      </c>
      <c r="R123" s="148">
        <f>'Fixed inputs'!R139</f>
        <v>0</v>
      </c>
      <c r="S123" s="148">
        <f>'Fixed inputs'!S139</f>
        <v>0</v>
      </c>
      <c r="T123" s="148">
        <f>'Fixed inputs'!T139</f>
        <v>0</v>
      </c>
      <c r="U123" s="148">
        <f>'Fixed inputs'!U139</f>
        <v>0</v>
      </c>
      <c r="V123" s="148">
        <f>'Fixed inputs'!V139</f>
        <v>0</v>
      </c>
      <c r="W123" s="148">
        <f>'Fixed inputs'!W139</f>
        <v>0</v>
      </c>
      <c r="X123" s="148">
        <f>'Fixed inputs'!X139</f>
        <v>0</v>
      </c>
      <c r="Y123" s="148">
        <f>'Fixed inputs'!Y139</f>
        <v>0</v>
      </c>
    </row>
    <row r="124" spans="2:27" x14ac:dyDescent="0.25">
      <c r="C124" s="88"/>
    </row>
    <row r="125" spans="2:27" x14ac:dyDescent="0.25">
      <c r="B125" s="30" t="s">
        <v>702</v>
      </c>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row>
    <row r="126" spans="2:27" x14ac:dyDescent="0.25">
      <c r="C126" s="88"/>
    </row>
    <row r="127" spans="2:27" x14ac:dyDescent="0.25">
      <c r="B127" s="203"/>
      <c r="C127" s="29" t="s">
        <v>703</v>
      </c>
      <c r="D127"/>
      <c r="E127"/>
    </row>
    <row r="128" spans="2:27" x14ac:dyDescent="0.25">
      <c r="C128" s="88"/>
    </row>
    <row r="129" spans="3:27" x14ac:dyDescent="0.25">
      <c r="C129" s="31" t="str">
        <f ca="1">INDEX('Version control'!$H$34:$H$57,MATCH($A$1,'Version control'!$F$34:$F$57,0),1)&amp;"-B: Capacity-based charge elements (to be split between capacity &amp; fixed charges)"</f>
        <v>Section 113-B: Capacity-based charge elements (to be split between capacity &amp; fixed charges)</v>
      </c>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row>
    <row r="131" spans="3:27" x14ac:dyDescent="0.25">
      <c r="C131" s="88"/>
      <c r="E131" s="32" t="s">
        <v>621</v>
      </c>
      <c r="I131" t="s">
        <v>154</v>
      </c>
      <c r="AA131" t="s">
        <v>704</v>
      </c>
    </row>
    <row r="132" spans="3:27" x14ac:dyDescent="0.25">
      <c r="C132" s="88"/>
      <c r="F132" s="23" t="s">
        <v>189</v>
      </c>
      <c r="G132" s="23" t="s">
        <v>271</v>
      </c>
      <c r="H132" s="23"/>
      <c r="I132" s="23"/>
      <c r="J132" s="83"/>
      <c r="K132" s="83"/>
      <c r="L132" s="83"/>
      <c r="M132" s="83"/>
      <c r="N132" s="83"/>
      <c r="O132" s="83"/>
      <c r="P132" s="83"/>
      <c r="Q132" s="83"/>
      <c r="R132" s="83"/>
      <c r="S132" s="83"/>
      <c r="T132" s="83"/>
      <c r="U132" s="83"/>
      <c r="V132" s="83"/>
      <c r="W132" s="83"/>
      <c r="X132" s="83"/>
      <c r="Y132" s="83"/>
    </row>
    <row r="133" spans="3:27" x14ac:dyDescent="0.25">
      <c r="C133" s="88"/>
      <c r="F133" t="s">
        <v>191</v>
      </c>
      <c r="G133" t="s">
        <v>271</v>
      </c>
      <c r="J133" s="79"/>
      <c r="K133" s="79"/>
      <c r="L133" s="79"/>
      <c r="M133" s="79"/>
      <c r="N133" s="79"/>
      <c r="O133" s="79"/>
      <c r="P133" s="79"/>
      <c r="Q133" s="79"/>
      <c r="R133" s="79"/>
      <c r="S133" s="79"/>
      <c r="T133" s="79"/>
      <c r="U133" s="79"/>
      <c r="V133" s="79"/>
      <c r="W133" s="79"/>
      <c r="X133" s="79"/>
      <c r="Y133" s="79"/>
    </row>
    <row r="134" spans="3:27" x14ac:dyDescent="0.25">
      <c r="C134" s="88"/>
      <c r="F134" t="s">
        <v>192</v>
      </c>
      <c r="G134" t="s">
        <v>271</v>
      </c>
      <c r="J134" s="98">
        <f t="shared" ref="J134:K134" si="0">hundred*J95*$H53*J82/$H39*(1-J107)/days_in_year/(1+$H25)*PowerFactor</f>
        <v>0</v>
      </c>
      <c r="K134" s="98">
        <f t="shared" si="0"/>
        <v>0</v>
      </c>
      <c r="L134" s="98">
        <f t="shared" ref="L134:M134" si="1">hundred*L95*$H53*L82/$H39*(1-L107)/days_in_year/(1+$H25)*PowerFactor</f>
        <v>0</v>
      </c>
      <c r="M134" s="98">
        <f t="shared" si="1"/>
        <v>0</v>
      </c>
      <c r="N134" s="98">
        <f t="shared" ref="N134:P134" si="2">hundred*N95*$H53*N82/$H39*(1-N107)/days_in_year/(1+$H25)*PowerFactor</f>
        <v>0</v>
      </c>
      <c r="O134" s="98">
        <f t="shared" si="2"/>
        <v>0</v>
      </c>
      <c r="P134" s="98">
        <f t="shared" si="2"/>
        <v>1.9997997425697443E-2</v>
      </c>
      <c r="Q134" s="98">
        <f t="shared" ref="Q134" si="3">hundred*Q95*$H53*Q82/$H39*(1-Q107)/days_in_year/(1+$H25)*PowerFactor</f>
        <v>0</v>
      </c>
      <c r="R134" s="79"/>
      <c r="S134" s="79"/>
      <c r="T134" s="79"/>
      <c r="U134" s="79"/>
      <c r="V134" s="79"/>
      <c r="W134" s="79"/>
      <c r="X134" s="79"/>
      <c r="Y134" s="79"/>
    </row>
    <row r="135" spans="3:27" x14ac:dyDescent="0.25">
      <c r="C135" s="88"/>
      <c r="F135" t="s">
        <v>193</v>
      </c>
      <c r="G135" t="s">
        <v>271</v>
      </c>
      <c r="J135" s="98">
        <f t="shared" ref="J135:K135" si="4">hundred*J96*$H54*J83/$H40*(1-J108)/days_in_year/(1+$H26)*PowerFactor</f>
        <v>0</v>
      </c>
      <c r="K135" s="98">
        <f t="shared" si="4"/>
        <v>0</v>
      </c>
      <c r="L135" s="98">
        <f t="shared" ref="L135:M135" si="5">hundred*L96*$H54*L83/$H40*(1-L108)/days_in_year/(1+$H26)*PowerFactor</f>
        <v>0</v>
      </c>
      <c r="M135" s="98">
        <f t="shared" si="5"/>
        <v>0</v>
      </c>
      <c r="N135" s="98">
        <f t="shared" ref="N135:P135" si="6">hundred*N96*$H54*N83/$H40*(1-N108)/days_in_year/(1+$H26)*PowerFactor</f>
        <v>0</v>
      </c>
      <c r="O135" s="98">
        <f t="shared" si="6"/>
        <v>0</v>
      </c>
      <c r="P135" s="98">
        <f t="shared" si="6"/>
        <v>0</v>
      </c>
      <c r="Q135" s="98">
        <f t="shared" ref="Q135" si="7">hundred*Q96*$H54*Q83/$H40*(1-Q108)/days_in_year/(1+$H26)*PowerFactor</f>
        <v>0</v>
      </c>
      <c r="R135" s="79"/>
      <c r="S135" s="79"/>
      <c r="T135" s="79"/>
      <c r="U135" s="79"/>
      <c r="V135" s="79"/>
      <c r="W135" s="79"/>
      <c r="X135" s="79"/>
      <c r="Y135" s="79"/>
    </row>
    <row r="136" spans="3:27" x14ac:dyDescent="0.25">
      <c r="C136" s="88"/>
      <c r="F136" t="s">
        <v>194</v>
      </c>
      <c r="G136" t="s">
        <v>271</v>
      </c>
      <c r="J136" s="98">
        <f t="shared" ref="J136:K136" si="8">hundred*J97*$H55*J84/$H41*(1-J109)/days_in_year/(1+$H27)*PowerFactor</f>
        <v>0</v>
      </c>
      <c r="K136" s="98">
        <f t="shared" si="8"/>
        <v>0</v>
      </c>
      <c r="L136" s="98">
        <f t="shared" ref="L136:M136" si="9">hundred*L97*$H55*L84/$H41*(1-L109)/days_in_year/(1+$H27)*PowerFactor</f>
        <v>0</v>
      </c>
      <c r="M136" s="98">
        <f t="shared" si="9"/>
        <v>0</v>
      </c>
      <c r="N136" s="98">
        <f t="shared" ref="N136:P136" si="10">hundred*N97*$H55*N84/$H41*(1-N109)/days_in_year/(1+$H27)*PowerFactor</f>
        <v>0</v>
      </c>
      <c r="O136" s="98">
        <f t="shared" si="10"/>
        <v>0</v>
      </c>
      <c r="P136" s="98">
        <f t="shared" si="10"/>
        <v>0.14898075023051932</v>
      </c>
      <c r="Q136" s="98">
        <f t="shared" ref="Q136" si="11">hundred*Q97*$H55*Q84/$H41*(1-Q109)/days_in_year/(1+$H27)*PowerFactor</f>
        <v>0</v>
      </c>
      <c r="R136" s="79"/>
      <c r="S136" s="79"/>
      <c r="T136" s="79"/>
      <c r="U136" s="79"/>
      <c r="V136" s="79"/>
      <c r="W136" s="79"/>
      <c r="X136" s="79"/>
      <c r="Y136" s="79"/>
    </row>
    <row r="137" spans="3:27" x14ac:dyDescent="0.25">
      <c r="C137" s="88"/>
      <c r="F137" t="s">
        <v>195</v>
      </c>
      <c r="G137" t="s">
        <v>271</v>
      </c>
      <c r="J137" s="98">
        <f t="shared" ref="J137:K137" si="12">hundred*J98*$H56*J85/$H42*(1-J110)/days_in_year/(1+$H28)*PowerFactor</f>
        <v>0</v>
      </c>
      <c r="K137" s="98">
        <f t="shared" si="12"/>
        <v>0</v>
      </c>
      <c r="L137" s="98">
        <f t="shared" ref="L137:M137" si="13">hundred*L98*$H56*L85/$H42*(1-L110)/days_in_year/(1+$H28)*PowerFactor</f>
        <v>0</v>
      </c>
      <c r="M137" s="98">
        <f t="shared" si="13"/>
        <v>0</v>
      </c>
      <c r="N137" s="98">
        <f t="shared" ref="N137:P137" si="14">hundred*N98*$H56*N85/$H42*(1-N110)/days_in_year/(1+$H28)*PowerFactor</f>
        <v>0</v>
      </c>
      <c r="O137" s="98">
        <f t="shared" si="14"/>
        <v>0</v>
      </c>
      <c r="P137" s="98">
        <f t="shared" si="14"/>
        <v>0.83135365565729591</v>
      </c>
      <c r="Q137" s="98">
        <f t="shared" ref="Q137" si="15">hundred*Q98*$H56*Q85/$H42*(1-Q110)/days_in_year/(1+$H28)*PowerFactor</f>
        <v>0</v>
      </c>
      <c r="R137" s="79"/>
      <c r="S137" s="79"/>
      <c r="T137" s="79"/>
      <c r="U137" s="79"/>
      <c r="V137" s="79"/>
      <c r="W137" s="79"/>
      <c r="X137" s="79"/>
      <c r="Y137" s="79"/>
    </row>
    <row r="138" spans="3:27" x14ac:dyDescent="0.25">
      <c r="C138" s="88"/>
      <c r="F138" t="s">
        <v>196</v>
      </c>
      <c r="G138" t="s">
        <v>271</v>
      </c>
      <c r="J138" s="98">
        <f t="shared" ref="J138:K138" si="16">hundred*J99*$H57*J86/$H43*(1-J111)/days_in_year/(1+$H29)*PowerFactor</f>
        <v>0</v>
      </c>
      <c r="K138" s="98">
        <f t="shared" si="16"/>
        <v>0</v>
      </c>
      <c r="L138" s="98">
        <f t="shared" ref="L138:M138" si="17">hundred*L99*$H57*L86/$H43*(1-L111)/days_in_year/(1+$H29)*PowerFactor</f>
        <v>0</v>
      </c>
      <c r="M138" s="98">
        <f t="shared" si="17"/>
        <v>0</v>
      </c>
      <c r="N138" s="98">
        <f t="shared" ref="N138:P138" si="18">hundred*N99*$H57*N86/$H43*(1-N111)/days_in_year/(1+$H29)*PowerFactor</f>
        <v>0</v>
      </c>
      <c r="O138" s="98">
        <f t="shared" si="18"/>
        <v>0</v>
      </c>
      <c r="P138" s="98">
        <f t="shared" si="18"/>
        <v>7.553749834382259E-2</v>
      </c>
      <c r="Q138" s="98">
        <f t="shared" ref="Q138" si="19">hundred*Q99*$H57*Q86/$H43*(1-Q111)/days_in_year/(1+$H29)*PowerFactor</f>
        <v>0</v>
      </c>
      <c r="R138" s="79"/>
      <c r="S138" s="79"/>
      <c r="T138" s="79"/>
      <c r="U138" s="79"/>
      <c r="V138" s="79"/>
      <c r="W138" s="79"/>
      <c r="X138" s="79"/>
      <c r="Y138" s="79"/>
    </row>
    <row r="139" spans="3:27" x14ac:dyDescent="0.25">
      <c r="C139" s="88"/>
      <c r="F139" t="s">
        <v>197</v>
      </c>
      <c r="G139" t="s">
        <v>271</v>
      </c>
      <c r="J139" s="98">
        <f t="shared" ref="J139:K139" si="20">hundred*J100*$H58*J87/$H44*(1-J112)/days_in_year/(1+$H30)*PowerFactor</f>
        <v>0</v>
      </c>
      <c r="K139" s="98">
        <f t="shared" si="20"/>
        <v>0</v>
      </c>
      <c r="L139" s="98">
        <f t="shared" ref="L139:M139" si="21">hundred*L100*$H58*L87/$H44*(1-L112)/days_in_year/(1+$H30)*PowerFactor</f>
        <v>0</v>
      </c>
      <c r="M139" s="98">
        <f t="shared" si="21"/>
        <v>0</v>
      </c>
      <c r="N139" s="98">
        <f t="shared" ref="N139:P139" si="22">hundred*N100*$H58*N87/$H44*(1-N112)/days_in_year/(1+$H30)*PowerFactor</f>
        <v>0.23895903772948493</v>
      </c>
      <c r="O139" s="98">
        <f t="shared" si="22"/>
        <v>1.1604365143913298</v>
      </c>
      <c r="P139" s="98">
        <f t="shared" si="22"/>
        <v>0.79837971602549074</v>
      </c>
      <c r="Q139" s="98">
        <f t="shared" ref="Q139" si="23">hundred*Q100*$H58*Q87/$H44*(1-Q112)/days_in_year/(1+$H30)*PowerFactor</f>
        <v>0</v>
      </c>
      <c r="R139" s="79"/>
      <c r="S139" s="79"/>
      <c r="T139" s="79"/>
      <c r="U139" s="79"/>
      <c r="V139" s="79"/>
      <c r="W139" s="79"/>
      <c r="X139" s="79"/>
      <c r="Y139" s="79"/>
    </row>
    <row r="140" spans="3:27" x14ac:dyDescent="0.25">
      <c r="C140" s="88"/>
      <c r="F140" t="s">
        <v>198</v>
      </c>
      <c r="G140" t="s">
        <v>271</v>
      </c>
      <c r="J140" s="98">
        <f t="shared" ref="J140:K140" si="24">hundred*J101*$H59*J88/$H45*(1-J113)/days_in_year/(1+$H31)*PowerFactor</f>
        <v>0</v>
      </c>
      <c r="K140" s="98">
        <f t="shared" si="24"/>
        <v>0</v>
      </c>
      <c r="L140" s="98">
        <f t="shared" ref="L140:M140" si="25">hundred*L101*$H59*L88/$H45*(1-L113)/days_in_year/(1+$H31)*PowerFactor</f>
        <v>0</v>
      </c>
      <c r="M140" s="98">
        <f t="shared" si="25"/>
        <v>0</v>
      </c>
      <c r="N140" s="98">
        <f t="shared" ref="N140:P140" si="26">hundred*N101*$H59*N88/$H45*(1-N113)/days_in_year/(1+$H31)*PowerFactor</f>
        <v>0.30563569078404124</v>
      </c>
      <c r="O140" s="98">
        <f t="shared" si="26"/>
        <v>0.29684653826613283</v>
      </c>
      <c r="P140" s="98">
        <f t="shared" si="26"/>
        <v>0</v>
      </c>
      <c r="Q140" s="98">
        <f t="shared" ref="Q140" si="27">hundred*Q101*$H59*Q88/$H45*(1-Q113)/days_in_year/(1+$H31)*PowerFactor</f>
        <v>0</v>
      </c>
      <c r="R140" s="79"/>
      <c r="S140" s="79"/>
      <c r="T140" s="79"/>
      <c r="U140" s="79"/>
      <c r="V140" s="79"/>
      <c r="W140" s="79"/>
      <c r="X140" s="79"/>
      <c r="Y140" s="79"/>
    </row>
    <row r="141" spans="3:27" x14ac:dyDescent="0.25">
      <c r="C141" s="88"/>
      <c r="F141" t="s">
        <v>199</v>
      </c>
      <c r="G141" t="s">
        <v>271</v>
      </c>
      <c r="J141" s="98">
        <f t="shared" ref="J141:K141" si="28">hundred*J102*$H60*J89/$H46*(1-J114)/days_in_year/(1+$H32)*PowerFactor</f>
        <v>0.12322085469629813</v>
      </c>
      <c r="K141" s="98">
        <f t="shared" si="28"/>
        <v>0.12322085469629813</v>
      </c>
      <c r="L141" s="98">
        <f t="shared" ref="L141:M141" si="29">hundred*L102*$H60*L89/$H46*(1-L114)/days_in_year/(1+$H32)*PowerFactor</f>
        <v>0.12322085469629813</v>
      </c>
      <c r="M141" s="98">
        <f t="shared" si="29"/>
        <v>0.12322085469629813</v>
      </c>
      <c r="N141" s="98">
        <f t="shared" ref="N141:P141" si="30">hundred*N102*$H60*N89/$H46*(1-N114)/days_in_year/(1+$H32)*PowerFactor</f>
        <v>0.12322085469629813</v>
      </c>
      <c r="O141" s="98">
        <f t="shared" si="30"/>
        <v>0</v>
      </c>
      <c r="P141" s="98">
        <f t="shared" si="30"/>
        <v>0</v>
      </c>
      <c r="Q141" s="98">
        <f t="shared" ref="Q141" si="31">hundred*Q102*$H60*Q89/$H46*(1-Q114)/days_in_year/(1+$H32)*PowerFactor</f>
        <v>0</v>
      </c>
      <c r="R141" s="79"/>
      <c r="S141" s="79"/>
      <c r="T141" s="79"/>
      <c r="U141" s="79"/>
      <c r="V141" s="79"/>
      <c r="W141" s="79"/>
      <c r="X141" s="79"/>
      <c r="Y141" s="79"/>
    </row>
    <row r="142" spans="3:27" x14ac:dyDescent="0.25">
      <c r="C142" s="88"/>
      <c r="D142"/>
      <c r="F142" t="s">
        <v>376</v>
      </c>
      <c r="G142" t="s">
        <v>271</v>
      </c>
      <c r="J142" s="79"/>
      <c r="K142" s="79"/>
      <c r="L142" s="79"/>
      <c r="M142" s="79"/>
      <c r="N142" s="79"/>
      <c r="O142" s="79"/>
      <c r="P142" s="79"/>
      <c r="Q142" s="79"/>
      <c r="R142" s="79"/>
      <c r="S142" s="79"/>
      <c r="T142" s="79"/>
      <c r="U142" s="79"/>
      <c r="V142" s="79"/>
      <c r="W142" s="79"/>
      <c r="X142" s="79"/>
      <c r="Y142" s="79"/>
    </row>
    <row r="143" spans="3:27" x14ac:dyDescent="0.25">
      <c r="C143" s="88"/>
      <c r="D143"/>
      <c r="F143" s="37" t="s">
        <v>377</v>
      </c>
      <c r="G143" s="37" t="s">
        <v>271</v>
      </c>
      <c r="H143" s="37"/>
      <c r="I143" s="37"/>
      <c r="J143" s="81"/>
      <c r="K143" s="81"/>
      <c r="L143" s="81"/>
      <c r="M143" s="81"/>
      <c r="N143" s="81"/>
      <c r="O143" s="81"/>
      <c r="P143" s="81"/>
      <c r="Q143" s="81"/>
      <c r="R143" s="81"/>
      <c r="S143" s="81"/>
      <c r="T143" s="81"/>
      <c r="U143" s="81"/>
      <c r="V143" s="81"/>
      <c r="W143" s="81"/>
      <c r="X143" s="81"/>
      <c r="Y143" s="81"/>
    </row>
    <row r="144" spans="3:27" x14ac:dyDescent="0.25">
      <c r="C144" s="88"/>
      <c r="D144"/>
      <c r="J144" s="98"/>
      <c r="K144" s="98"/>
      <c r="L144" s="98"/>
      <c r="M144" s="98"/>
      <c r="N144" s="98"/>
      <c r="O144" s="98"/>
      <c r="P144" s="98"/>
      <c r="Q144" s="98"/>
      <c r="R144" s="98"/>
      <c r="S144" s="98"/>
      <c r="T144" s="98"/>
      <c r="U144" s="98"/>
      <c r="V144" s="98"/>
      <c r="W144" s="98"/>
      <c r="X144" s="98"/>
      <c r="Y144" s="98"/>
    </row>
    <row r="145" spans="3:27" x14ac:dyDescent="0.25">
      <c r="C145" s="88"/>
      <c r="E145" s="32" t="s">
        <v>622</v>
      </c>
      <c r="J145" s="98"/>
      <c r="K145" s="98"/>
      <c r="L145" s="98"/>
      <c r="M145" s="98"/>
      <c r="N145" s="98"/>
      <c r="O145" s="98"/>
      <c r="P145" s="98"/>
      <c r="Q145" s="98"/>
      <c r="R145" s="98"/>
      <c r="S145" s="98"/>
      <c r="T145" s="98"/>
      <c r="U145" s="98"/>
      <c r="V145" s="98"/>
      <c r="W145" s="98"/>
      <c r="X145" s="98"/>
      <c r="Y145" s="98"/>
    </row>
    <row r="146" spans="3:27" x14ac:dyDescent="0.25">
      <c r="C146" s="88"/>
      <c r="F146" s="23" t="s">
        <v>189</v>
      </c>
      <c r="G146" s="23" t="s">
        <v>271</v>
      </c>
      <c r="H146" s="23"/>
      <c r="I146" s="23"/>
      <c r="J146" s="126">
        <f t="shared" ref="J146:K146" si="32">hundred*J94*$H65*J80/$H37/days_in_year/(1+$H23)*PowerFactor</f>
        <v>0</v>
      </c>
      <c r="K146" s="126">
        <f t="shared" si="32"/>
        <v>0</v>
      </c>
      <c r="L146" s="126">
        <f t="shared" ref="L146:M146" si="33">hundred*L94*$H65*L80/$H37/days_in_year/(1+$H23)*PowerFactor</f>
        <v>0</v>
      </c>
      <c r="M146" s="126">
        <f t="shared" si="33"/>
        <v>0</v>
      </c>
      <c r="N146" s="126">
        <f t="shared" ref="N146:P146" si="34">hundred*N94*$H65*N80/$H37/days_in_year/(1+$H23)*PowerFactor</f>
        <v>0</v>
      </c>
      <c r="O146" s="126">
        <f t="shared" si="34"/>
        <v>0</v>
      </c>
      <c r="P146" s="126">
        <f t="shared" si="34"/>
        <v>0</v>
      </c>
      <c r="Q146" s="126">
        <f t="shared" ref="Q146" si="35">hundred*Q94*$H65*Q80/$H37/days_in_year/(1+$H23)*PowerFactor</f>
        <v>0</v>
      </c>
      <c r="R146" s="83"/>
      <c r="S146" s="83"/>
      <c r="T146" s="83"/>
      <c r="U146" s="83"/>
      <c r="V146" s="83"/>
      <c r="W146" s="83"/>
      <c r="X146" s="83"/>
      <c r="Y146" s="83"/>
    </row>
    <row r="147" spans="3:27" x14ac:dyDescent="0.25">
      <c r="C147" s="88"/>
      <c r="F147" t="s">
        <v>191</v>
      </c>
      <c r="G147" t="s">
        <v>271</v>
      </c>
      <c r="J147" s="98">
        <f t="shared" ref="J147:K147" si="36">hundred*J94*$H66*J81/$H38/days_in_year/(1+$H24)*PowerFactor</f>
        <v>0</v>
      </c>
      <c r="K147" s="98">
        <f t="shared" si="36"/>
        <v>0</v>
      </c>
      <c r="L147" s="98">
        <f t="shared" ref="L147:M147" si="37">hundred*L94*$H66*L81/$H38/days_in_year/(1+$H24)*PowerFactor</f>
        <v>0</v>
      </c>
      <c r="M147" s="98">
        <f t="shared" si="37"/>
        <v>0</v>
      </c>
      <c r="N147" s="98">
        <f t="shared" ref="N147:P147" si="38">hundred*N94*$H66*N81/$H38/days_in_year/(1+$H24)*PowerFactor</f>
        <v>0</v>
      </c>
      <c r="O147" s="98">
        <f t="shared" si="38"/>
        <v>0</v>
      </c>
      <c r="P147" s="98">
        <f t="shared" si="38"/>
        <v>0</v>
      </c>
      <c r="Q147" s="98">
        <f t="shared" ref="Q147" si="39">hundred*Q94*$H66*Q81/$H38/days_in_year/(1+$H24)*PowerFactor</f>
        <v>0</v>
      </c>
      <c r="R147" s="79"/>
      <c r="S147" s="79"/>
      <c r="T147" s="79"/>
      <c r="U147" s="79"/>
      <c r="V147" s="79"/>
      <c r="W147" s="79"/>
      <c r="X147" s="79"/>
      <c r="Y147" s="79"/>
    </row>
    <row r="148" spans="3:27" x14ac:dyDescent="0.25">
      <c r="C148" s="88"/>
      <c r="F148" t="s">
        <v>192</v>
      </c>
      <c r="G148" t="s">
        <v>271</v>
      </c>
      <c r="J148" s="98">
        <f t="shared" ref="J148:K148" si="40">hundred*J95*$H67*J82/$H39/days_in_year/(1+$H25)*PowerFactor</f>
        <v>0</v>
      </c>
      <c r="K148" s="98">
        <f t="shared" si="40"/>
        <v>0</v>
      </c>
      <c r="L148" s="98">
        <f t="shared" ref="L148:M148" si="41">hundred*L95*$H67*L82/$H39/days_in_year/(1+$H25)*PowerFactor</f>
        <v>0</v>
      </c>
      <c r="M148" s="98">
        <f t="shared" si="41"/>
        <v>0</v>
      </c>
      <c r="N148" s="98">
        <f t="shared" ref="N148:P148" si="42">hundred*N95*$H67*N82/$H39/days_in_year/(1+$H25)*PowerFactor</f>
        <v>0</v>
      </c>
      <c r="O148" s="98">
        <f t="shared" si="42"/>
        <v>0</v>
      </c>
      <c r="P148" s="98">
        <f t="shared" si="42"/>
        <v>1.2696753392432468E-2</v>
      </c>
      <c r="Q148" s="98">
        <f t="shared" ref="Q148" si="43">hundred*Q95*$H67*Q82/$H39/days_in_year/(1+$H25)*PowerFactor</f>
        <v>0</v>
      </c>
      <c r="R148" s="79"/>
      <c r="S148" s="79"/>
      <c r="T148" s="79"/>
      <c r="U148" s="79"/>
      <c r="V148" s="79"/>
      <c r="W148" s="79"/>
      <c r="X148" s="79"/>
      <c r="Y148" s="79"/>
    </row>
    <row r="149" spans="3:27" x14ac:dyDescent="0.25">
      <c r="C149" s="88"/>
      <c r="F149" t="s">
        <v>193</v>
      </c>
      <c r="G149" t="s">
        <v>271</v>
      </c>
      <c r="J149" s="98">
        <f t="shared" ref="J149:K149" si="44">hundred*J96*$H68*J83/$H40/days_in_year/(1+$H26)*PowerFactor</f>
        <v>0</v>
      </c>
      <c r="K149" s="98">
        <f t="shared" si="44"/>
        <v>0</v>
      </c>
      <c r="L149" s="98">
        <f t="shared" ref="L149:M149" si="45">hundred*L96*$H68*L83/$H40/days_in_year/(1+$H26)*PowerFactor</f>
        <v>0</v>
      </c>
      <c r="M149" s="98">
        <f t="shared" si="45"/>
        <v>0</v>
      </c>
      <c r="N149" s="98">
        <f t="shared" ref="N149:P149" si="46">hundred*N96*$H68*N83/$H40/days_in_year/(1+$H26)*PowerFactor</f>
        <v>0</v>
      </c>
      <c r="O149" s="98">
        <f t="shared" si="46"/>
        <v>0</v>
      </c>
      <c r="P149" s="98">
        <f t="shared" si="46"/>
        <v>0</v>
      </c>
      <c r="Q149" s="98">
        <f t="shared" ref="Q149" si="47">hundred*Q96*$H68*Q83/$H40/days_in_year/(1+$H26)*PowerFactor</f>
        <v>0</v>
      </c>
      <c r="R149" s="79"/>
      <c r="S149" s="79"/>
      <c r="T149" s="79"/>
      <c r="U149" s="79"/>
      <c r="V149" s="79"/>
      <c r="W149" s="79"/>
      <c r="X149" s="79"/>
      <c r="Y149" s="79"/>
    </row>
    <row r="150" spans="3:27" x14ac:dyDescent="0.25">
      <c r="C150" s="88"/>
      <c r="F150" t="s">
        <v>194</v>
      </c>
      <c r="G150" t="s">
        <v>271</v>
      </c>
      <c r="J150" s="98">
        <f t="shared" ref="J150:K150" si="48">hundred*J97*$H69*J84/$H41/days_in_year/(1+$H27)*PowerFactor</f>
        <v>0</v>
      </c>
      <c r="K150" s="98">
        <f t="shared" si="48"/>
        <v>0</v>
      </c>
      <c r="L150" s="98">
        <f t="shared" ref="L150:M150" si="49">hundred*L97*$H69*L84/$H41/days_in_year/(1+$H27)*PowerFactor</f>
        <v>0</v>
      </c>
      <c r="M150" s="98">
        <f t="shared" si="49"/>
        <v>0</v>
      </c>
      <c r="N150" s="98">
        <f t="shared" ref="N150:P150" si="50">hundred*N97*$H69*N84/$H41/days_in_year/(1+$H27)*PowerFactor</f>
        <v>0</v>
      </c>
      <c r="O150" s="98">
        <f t="shared" si="50"/>
        <v>0</v>
      </c>
      <c r="P150" s="98">
        <f t="shared" si="50"/>
        <v>0.1012091723472324</v>
      </c>
      <c r="Q150" s="98">
        <f t="shared" ref="Q150" si="51">hundred*Q97*$H69*Q84/$H41/days_in_year/(1+$H27)*PowerFactor</f>
        <v>0</v>
      </c>
      <c r="R150" s="79"/>
      <c r="S150" s="79"/>
      <c r="T150" s="79"/>
      <c r="U150" s="79"/>
      <c r="V150" s="79"/>
      <c r="W150" s="79"/>
      <c r="X150" s="79"/>
      <c r="Y150" s="79"/>
    </row>
    <row r="151" spans="3:27" x14ac:dyDescent="0.25">
      <c r="C151" s="88"/>
      <c r="F151" t="s">
        <v>195</v>
      </c>
      <c r="G151" t="s">
        <v>271</v>
      </c>
      <c r="J151" s="98">
        <f t="shared" ref="J151:K151" si="52">hundred*J98*$H70*J85/$H42/days_in_year/(1+$H28)*PowerFactor</f>
        <v>0</v>
      </c>
      <c r="K151" s="98">
        <f t="shared" si="52"/>
        <v>0</v>
      </c>
      <c r="L151" s="98">
        <f t="shared" ref="L151:M151" si="53">hundred*L98*$H70*L85/$H42/days_in_year/(1+$H28)*PowerFactor</f>
        <v>0</v>
      </c>
      <c r="M151" s="98">
        <f t="shared" si="53"/>
        <v>0</v>
      </c>
      <c r="N151" s="98">
        <f t="shared" ref="N151:P151" si="54">hundred*N98*$H70*N85/$H42/days_in_year/(1+$H28)*PowerFactor</f>
        <v>0</v>
      </c>
      <c r="O151" s="98">
        <f t="shared" si="54"/>
        <v>0</v>
      </c>
      <c r="P151" s="98">
        <f t="shared" si="54"/>
        <v>0.81408325657504732</v>
      </c>
      <c r="Q151" s="98">
        <f t="shared" ref="Q151" si="55">hundred*Q98*$H70*Q85/$H42/days_in_year/(1+$H28)*PowerFactor</f>
        <v>0</v>
      </c>
      <c r="R151" s="79"/>
      <c r="S151" s="79"/>
      <c r="T151" s="79"/>
      <c r="U151" s="79"/>
      <c r="V151" s="79"/>
      <c r="W151" s="79"/>
      <c r="X151" s="79"/>
      <c r="Y151" s="79"/>
    </row>
    <row r="152" spans="3:27" x14ac:dyDescent="0.25">
      <c r="C152" s="88"/>
      <c r="F152" t="s">
        <v>196</v>
      </c>
      <c r="G152" t="s">
        <v>271</v>
      </c>
      <c r="J152" s="98">
        <f t="shared" ref="J152:K152" si="56">hundred*J99*$H71*J86/$H43/days_in_year/(1+$H29)*PowerFactor</f>
        <v>0</v>
      </c>
      <c r="K152" s="98">
        <f t="shared" si="56"/>
        <v>0</v>
      </c>
      <c r="L152" s="98">
        <f t="shared" ref="L152:M152" si="57">hundred*L99*$H71*L86/$H43/days_in_year/(1+$H29)*PowerFactor</f>
        <v>0</v>
      </c>
      <c r="M152" s="98">
        <f t="shared" si="57"/>
        <v>0</v>
      </c>
      <c r="N152" s="98">
        <f t="shared" ref="N152:P152" si="58">hundred*N99*$H71*N86/$H43/days_in_year/(1+$H29)*PowerFactor</f>
        <v>0</v>
      </c>
      <c r="O152" s="98">
        <f t="shared" si="58"/>
        <v>0</v>
      </c>
      <c r="P152" s="98">
        <f t="shared" si="58"/>
        <v>7.3968295233696038E-2</v>
      </c>
      <c r="Q152" s="98">
        <f t="shared" ref="Q152" si="59">hundred*Q99*$H71*Q86/$H43/days_in_year/(1+$H29)*PowerFactor</f>
        <v>0</v>
      </c>
      <c r="R152" s="79"/>
      <c r="S152" s="79"/>
      <c r="T152" s="79"/>
      <c r="U152" s="79"/>
      <c r="V152" s="79"/>
      <c r="W152" s="79"/>
      <c r="X152" s="79"/>
      <c r="Y152" s="79"/>
    </row>
    <row r="153" spans="3:27" x14ac:dyDescent="0.25">
      <c r="C153" s="88"/>
      <c r="F153" t="s">
        <v>197</v>
      </c>
      <c r="G153" t="s">
        <v>271</v>
      </c>
      <c r="J153" s="98">
        <f t="shared" ref="J153:K153" si="60">hundred*J100*$H72*J87/$H44/days_in_year/(1+$H30)*PowerFactor</f>
        <v>0</v>
      </c>
      <c r="K153" s="98">
        <f t="shared" si="60"/>
        <v>0</v>
      </c>
      <c r="L153" s="98">
        <f t="shared" ref="L153:M153" si="61">hundred*L100*$H72*L87/$H44/days_in_year/(1+$H30)*PowerFactor</f>
        <v>0</v>
      </c>
      <c r="M153" s="98">
        <f t="shared" si="61"/>
        <v>0</v>
      </c>
      <c r="N153" s="98">
        <f t="shared" ref="N153:P153" si="62">hundred*N100*$H72*N87/$H44/days_in_year/(1+$H30)*PowerFactor</f>
        <v>0.29127501046915477</v>
      </c>
      <c r="O153" s="98">
        <f t="shared" si="62"/>
        <v>1.4144941371113404</v>
      </c>
      <c r="P153" s="98">
        <f t="shared" si="62"/>
        <v>1.3996331671894451</v>
      </c>
      <c r="Q153" s="98">
        <f t="shared" ref="Q153" si="63">hundred*Q100*$H72*Q87/$H44/days_in_year/(1+$H30)*PowerFactor</f>
        <v>0</v>
      </c>
      <c r="R153" s="79"/>
      <c r="S153" s="79"/>
      <c r="T153" s="79"/>
      <c r="U153" s="79"/>
      <c r="V153" s="79"/>
      <c r="W153" s="79"/>
      <c r="X153" s="79"/>
      <c r="Y153" s="79"/>
    </row>
    <row r="154" spans="3:27" x14ac:dyDescent="0.25">
      <c r="C154" s="88"/>
      <c r="F154" t="s">
        <v>198</v>
      </c>
      <c r="G154" t="s">
        <v>271</v>
      </c>
      <c r="J154" s="98">
        <f t="shared" ref="J154:K154" si="64">hundred*J101*$H73*J88/$H45/days_in_year/(1+$H31)*PowerFactor</f>
        <v>0</v>
      </c>
      <c r="K154" s="98">
        <f t="shared" si="64"/>
        <v>0</v>
      </c>
      <c r="L154" s="98">
        <f t="shared" ref="L154:M154" si="65">hundred*L101*$H73*L88/$H45/days_in_year/(1+$H31)*PowerFactor</f>
        <v>0</v>
      </c>
      <c r="M154" s="98">
        <f t="shared" si="65"/>
        <v>0</v>
      </c>
      <c r="N154" s="98">
        <f t="shared" ref="N154:P154" si="66">hundred*N101*$H73*N88/$H45/days_in_year/(1+$H31)*PowerFactor</f>
        <v>0.66665879912672221</v>
      </c>
      <c r="O154" s="98">
        <f t="shared" si="66"/>
        <v>0.64748772048764192</v>
      </c>
      <c r="P154" s="98">
        <f t="shared" si="66"/>
        <v>0</v>
      </c>
      <c r="Q154" s="98">
        <f t="shared" ref="Q154" si="67">hundred*Q101*$H73*Q88/$H45/days_in_year/(1+$H31)*PowerFactor</f>
        <v>0</v>
      </c>
      <c r="R154" s="79"/>
      <c r="S154" s="79"/>
      <c r="T154" s="79"/>
      <c r="U154" s="79"/>
      <c r="V154" s="79"/>
      <c r="W154" s="79"/>
      <c r="X154" s="79"/>
      <c r="Y154" s="79"/>
    </row>
    <row r="155" spans="3:27" x14ac:dyDescent="0.25">
      <c r="C155" s="88"/>
      <c r="F155" t="s">
        <v>199</v>
      </c>
      <c r="G155" t="s">
        <v>271</v>
      </c>
      <c r="J155" s="98">
        <f t="shared" ref="J155:K155" si="68">hundred*J102*$H74*J89/$H46/days_in_year/(1+$H32)*PowerFactor</f>
        <v>1.2765279769276361</v>
      </c>
      <c r="K155" s="98">
        <f t="shared" si="68"/>
        <v>1.2765279769276361</v>
      </c>
      <c r="L155" s="98">
        <f t="shared" ref="L155:M155" si="69">hundred*L102*$H74*L89/$H46/days_in_year/(1+$H32)*PowerFactor</f>
        <v>1.2765279769276361</v>
      </c>
      <c r="M155" s="98">
        <f t="shared" si="69"/>
        <v>1.2765279769276361</v>
      </c>
      <c r="N155" s="98">
        <f t="shared" ref="N155:P155" si="70">hundred*N102*$H74*N89/$H46/days_in_year/(1+$H32)*PowerFactor</f>
        <v>1.2765279769276361</v>
      </c>
      <c r="O155" s="98">
        <f t="shared" si="70"/>
        <v>0</v>
      </c>
      <c r="P155" s="98">
        <f t="shared" si="70"/>
        <v>0</v>
      </c>
      <c r="Q155" s="98">
        <f t="shared" ref="Q155" si="71">hundred*Q102*$H74*Q89/$H46/days_in_year/(1+$H32)*PowerFactor</f>
        <v>0</v>
      </c>
      <c r="R155" s="79"/>
      <c r="S155" s="79"/>
      <c r="T155" s="79"/>
      <c r="U155" s="79"/>
      <c r="V155" s="79"/>
      <c r="W155" s="79"/>
      <c r="X155" s="79"/>
      <c r="Y155" s="79"/>
    </row>
    <row r="156" spans="3:27" x14ac:dyDescent="0.25">
      <c r="C156" s="88"/>
      <c r="D156"/>
      <c r="F156" t="s">
        <v>376</v>
      </c>
      <c r="G156" t="s">
        <v>271</v>
      </c>
      <c r="J156" s="79"/>
      <c r="K156" s="79"/>
      <c r="L156" s="79"/>
      <c r="M156" s="79"/>
      <c r="N156" s="79"/>
      <c r="O156" s="79"/>
      <c r="P156" s="79"/>
      <c r="Q156" s="79"/>
      <c r="R156" s="79"/>
      <c r="S156" s="79"/>
      <c r="T156" s="79"/>
      <c r="U156" s="79"/>
      <c r="V156" s="79"/>
      <c r="W156" s="79"/>
      <c r="X156" s="79"/>
      <c r="Y156" s="79"/>
    </row>
    <row r="157" spans="3:27" x14ac:dyDescent="0.25">
      <c r="C157" s="88"/>
      <c r="D157"/>
      <c r="F157" s="37" t="s">
        <v>377</v>
      </c>
      <c r="G157" s="37" t="s">
        <v>271</v>
      </c>
      <c r="H157" s="37"/>
      <c r="I157" s="37"/>
      <c r="J157" s="81"/>
      <c r="K157" s="81"/>
      <c r="L157" s="81"/>
      <c r="M157" s="81"/>
      <c r="N157" s="81"/>
      <c r="O157" s="81"/>
      <c r="P157" s="81"/>
      <c r="Q157" s="81"/>
      <c r="R157" s="81"/>
      <c r="S157" s="81"/>
      <c r="T157" s="81"/>
      <c r="U157" s="81"/>
      <c r="V157" s="81"/>
      <c r="W157" s="81"/>
      <c r="X157" s="81"/>
      <c r="Y157" s="81"/>
    </row>
    <row r="158" spans="3:27" x14ac:dyDescent="0.25">
      <c r="C158" s="88"/>
      <c r="J158" s="98"/>
      <c r="K158" s="98"/>
      <c r="L158" s="98"/>
      <c r="M158" s="98"/>
      <c r="N158" s="98"/>
      <c r="O158" s="98"/>
      <c r="P158" s="98"/>
      <c r="Q158" s="98"/>
      <c r="R158" s="98"/>
      <c r="S158" s="98"/>
      <c r="T158" s="98"/>
      <c r="U158" s="98"/>
      <c r="V158" s="98"/>
      <c r="W158" s="98"/>
      <c r="X158" s="98"/>
      <c r="Y158" s="98"/>
    </row>
    <row r="159" spans="3:27" x14ac:dyDescent="0.25">
      <c r="C159" s="31" t="str">
        <f ca="1">INDEX('Version control'!$H$34:$H$57,MATCH($A$1,'Version control'!$F$34:$F$57,0),1)&amp;"-C: Exceeded capacity-based charge elements"</f>
        <v>Section 113-C: Exceeded capacity-based charge elements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25">
      <c r="J160" s="89"/>
      <c r="K160" s="89"/>
      <c r="L160" s="89"/>
      <c r="M160" s="89"/>
      <c r="N160" s="89"/>
      <c r="O160" s="89"/>
      <c r="P160" s="89"/>
      <c r="Q160" s="89"/>
      <c r="R160" s="89"/>
      <c r="S160" s="89"/>
      <c r="T160" s="89"/>
      <c r="U160" s="89"/>
      <c r="V160" s="89"/>
      <c r="W160" s="89"/>
      <c r="X160" s="89"/>
      <c r="Y160" s="89"/>
    </row>
    <row r="161" spans="3:25" x14ac:dyDescent="0.25">
      <c r="C161" s="88"/>
      <c r="E161" s="32" t="s">
        <v>621</v>
      </c>
      <c r="J161" s="89"/>
      <c r="K161" s="89"/>
      <c r="L161" s="89"/>
      <c r="M161" s="89"/>
      <c r="N161" s="89"/>
      <c r="O161" s="89"/>
      <c r="P161" s="89"/>
      <c r="Q161" s="89"/>
      <c r="R161" s="89"/>
      <c r="S161" s="89"/>
      <c r="T161" s="89"/>
      <c r="U161" s="89"/>
      <c r="V161" s="89"/>
      <c r="W161" s="89"/>
      <c r="X161" s="89"/>
      <c r="Y161" s="89"/>
    </row>
    <row r="162" spans="3:25" x14ac:dyDescent="0.25">
      <c r="C162" s="88"/>
      <c r="F162" s="23" t="s">
        <v>189</v>
      </c>
      <c r="G162" s="23" t="s">
        <v>271</v>
      </c>
      <c r="H162" s="23"/>
      <c r="I162" s="23"/>
      <c r="J162" s="83"/>
      <c r="K162" s="83"/>
      <c r="L162" s="83"/>
      <c r="M162" s="83"/>
      <c r="N162" s="83"/>
      <c r="O162" s="83"/>
      <c r="P162" s="83"/>
      <c r="Q162" s="83"/>
      <c r="R162" s="83"/>
      <c r="S162" s="83"/>
      <c r="T162" s="83"/>
      <c r="U162" s="83"/>
      <c r="V162" s="83"/>
      <c r="W162" s="83"/>
      <c r="X162" s="83"/>
      <c r="Y162" s="83"/>
    </row>
    <row r="163" spans="3:25" x14ac:dyDescent="0.25">
      <c r="C163" s="88"/>
      <c r="F163" t="s">
        <v>191</v>
      </c>
      <c r="G163" t="s">
        <v>271</v>
      </c>
      <c r="J163" s="79"/>
      <c r="K163" s="79"/>
      <c r="L163" s="79"/>
      <c r="M163" s="79"/>
      <c r="N163" s="79"/>
      <c r="O163" s="79"/>
      <c r="P163" s="79"/>
      <c r="Q163" s="79"/>
      <c r="R163" s="79"/>
      <c r="S163" s="79"/>
      <c r="T163" s="79"/>
      <c r="U163" s="79"/>
      <c r="V163" s="79"/>
      <c r="W163" s="79"/>
      <c r="X163" s="79"/>
      <c r="Y163" s="79"/>
    </row>
    <row r="164" spans="3:25" x14ac:dyDescent="0.25">
      <c r="C164" s="88"/>
      <c r="F164" t="s">
        <v>192</v>
      </c>
      <c r="G164" t="s">
        <v>271</v>
      </c>
      <c r="J164" s="98">
        <f t="shared" ref="J164:K164" si="72">hundred*J95*$H53*J82/$H39/days_in_year/(1+$H25)*PowerFactor</f>
        <v>0</v>
      </c>
      <c r="K164" s="98">
        <f t="shared" si="72"/>
        <v>0</v>
      </c>
      <c r="L164" s="98">
        <f t="shared" ref="L164:M164" si="73">hundred*L95*$H53*L82/$H39/days_in_year/(1+$H25)*PowerFactor</f>
        <v>0</v>
      </c>
      <c r="M164" s="98">
        <f t="shared" si="73"/>
        <v>0</v>
      </c>
      <c r="N164" s="98">
        <f t="shared" ref="N164:P164" si="74">hundred*N95*$H53*N82/$H39/days_in_year/(1+$H25)*PowerFactor</f>
        <v>0</v>
      </c>
      <c r="O164" s="98">
        <f t="shared" si="74"/>
        <v>0</v>
      </c>
      <c r="P164" s="98">
        <f t="shared" si="74"/>
        <v>1.9997997425697443E-2</v>
      </c>
      <c r="Q164" s="98">
        <f t="shared" ref="Q164" si="75">hundred*Q95*$H53*Q82/$H39/days_in_year/(1+$H25)*PowerFactor</f>
        <v>0</v>
      </c>
      <c r="R164" s="79"/>
      <c r="S164" s="79"/>
      <c r="T164" s="79"/>
      <c r="U164" s="79"/>
      <c r="V164" s="79"/>
      <c r="W164" s="79"/>
      <c r="X164" s="79"/>
      <c r="Y164" s="79"/>
    </row>
    <row r="165" spans="3:25" x14ac:dyDescent="0.25">
      <c r="C165" s="88"/>
      <c r="F165" t="s">
        <v>193</v>
      </c>
      <c r="G165" t="s">
        <v>271</v>
      </c>
      <c r="J165" s="98">
        <f t="shared" ref="J165:K165" si="76">hundred*J96*$H54*J83/$H40/days_in_year/(1+$H26)*PowerFactor</f>
        <v>0</v>
      </c>
      <c r="K165" s="98">
        <f t="shared" si="76"/>
        <v>0</v>
      </c>
      <c r="L165" s="98">
        <f t="shared" ref="L165:M165" si="77">hundred*L96*$H54*L83/$H40/days_in_year/(1+$H26)*PowerFactor</f>
        <v>0</v>
      </c>
      <c r="M165" s="98">
        <f t="shared" si="77"/>
        <v>0</v>
      </c>
      <c r="N165" s="98">
        <f t="shared" ref="N165:P165" si="78">hundred*N96*$H54*N83/$H40/days_in_year/(1+$H26)*PowerFactor</f>
        <v>0</v>
      </c>
      <c r="O165" s="98">
        <f t="shared" si="78"/>
        <v>0</v>
      </c>
      <c r="P165" s="98">
        <f t="shared" si="78"/>
        <v>0</v>
      </c>
      <c r="Q165" s="98">
        <f t="shared" ref="Q165" si="79">hundred*Q96*$H54*Q83/$H40/days_in_year/(1+$H26)*PowerFactor</f>
        <v>0</v>
      </c>
      <c r="R165" s="79"/>
      <c r="S165" s="79"/>
      <c r="T165" s="79"/>
      <c r="U165" s="79"/>
      <c r="V165" s="79"/>
      <c r="W165" s="79"/>
      <c r="X165" s="79"/>
      <c r="Y165" s="79"/>
    </row>
    <row r="166" spans="3:25" x14ac:dyDescent="0.25">
      <c r="C166" s="88"/>
      <c r="F166" t="s">
        <v>194</v>
      </c>
      <c r="G166" t="s">
        <v>271</v>
      </c>
      <c r="J166" s="98">
        <f t="shared" ref="J166:K166" si="80">hundred*J97*$H55*J84/$H41/days_in_year/(1+$H27)*PowerFactor</f>
        <v>0</v>
      </c>
      <c r="K166" s="98">
        <f t="shared" si="80"/>
        <v>0</v>
      </c>
      <c r="L166" s="98">
        <f t="shared" ref="L166:M166" si="81">hundred*L97*$H55*L84/$H41/days_in_year/(1+$H27)*PowerFactor</f>
        <v>0</v>
      </c>
      <c r="M166" s="98">
        <f t="shared" si="81"/>
        <v>0</v>
      </c>
      <c r="N166" s="98">
        <f t="shared" ref="N166:P166" si="82">hundred*N97*$H55*N84/$H41/days_in_year/(1+$H27)*PowerFactor</f>
        <v>0</v>
      </c>
      <c r="O166" s="98">
        <f t="shared" si="82"/>
        <v>0</v>
      </c>
      <c r="P166" s="98">
        <f t="shared" si="82"/>
        <v>0.15940931555489274</v>
      </c>
      <c r="Q166" s="98">
        <f t="shared" ref="Q166" si="83">hundred*Q97*$H55*Q84/$H41/days_in_year/(1+$H27)*PowerFactor</f>
        <v>0</v>
      </c>
      <c r="R166" s="79"/>
      <c r="S166" s="79"/>
      <c r="T166" s="79"/>
      <c r="U166" s="79"/>
      <c r="V166" s="79"/>
      <c r="W166" s="79"/>
      <c r="X166" s="79"/>
      <c r="Y166" s="79"/>
    </row>
    <row r="167" spans="3:25" x14ac:dyDescent="0.25">
      <c r="C167" s="88"/>
      <c r="F167" t="s">
        <v>195</v>
      </c>
      <c r="G167" t="s">
        <v>271</v>
      </c>
      <c r="J167" s="98">
        <f t="shared" ref="J167:K167" si="84">hundred*J98*$H56*J85/$H42/days_in_year/(1+$H28)*PowerFactor</f>
        <v>0</v>
      </c>
      <c r="K167" s="98">
        <f t="shared" si="84"/>
        <v>0</v>
      </c>
      <c r="L167" s="98">
        <f t="shared" ref="L167:M167" si="85">hundred*L98*$H56*L85/$H42/days_in_year/(1+$H28)*PowerFactor</f>
        <v>0</v>
      </c>
      <c r="M167" s="98">
        <f t="shared" si="85"/>
        <v>0</v>
      </c>
      <c r="N167" s="98">
        <f t="shared" ref="N167:P167" si="86">hundred*N98*$H56*N85/$H42/days_in_year/(1+$H28)*PowerFactor</f>
        <v>0</v>
      </c>
      <c r="O167" s="98">
        <f t="shared" si="86"/>
        <v>0</v>
      </c>
      <c r="P167" s="98">
        <f t="shared" si="86"/>
        <v>1.2822202941260901</v>
      </c>
      <c r="Q167" s="98">
        <f t="shared" ref="Q167" si="87">hundred*Q98*$H56*Q85/$H42/days_in_year/(1+$H28)*PowerFactor</f>
        <v>0</v>
      </c>
      <c r="R167" s="79"/>
      <c r="S167" s="79"/>
      <c r="T167" s="79"/>
      <c r="U167" s="79"/>
      <c r="V167" s="79"/>
      <c r="W167" s="79"/>
      <c r="X167" s="79"/>
      <c r="Y167" s="79"/>
    </row>
    <row r="168" spans="3:25" x14ac:dyDescent="0.25">
      <c r="C168" s="88"/>
      <c r="F168" t="s">
        <v>196</v>
      </c>
      <c r="G168" t="s">
        <v>271</v>
      </c>
      <c r="J168" s="98">
        <f t="shared" ref="J168:K168" si="88">hundred*J99*$H57*J86/$H43/days_in_year/(1+$H29)*PowerFactor</f>
        <v>0</v>
      </c>
      <c r="K168" s="98">
        <f t="shared" si="88"/>
        <v>0</v>
      </c>
      <c r="L168" s="98">
        <f t="shared" ref="L168:M168" si="89">hundred*L99*$H57*L86/$H43/days_in_year/(1+$H29)*PowerFactor</f>
        <v>0</v>
      </c>
      <c r="M168" s="98">
        <f t="shared" si="89"/>
        <v>0</v>
      </c>
      <c r="N168" s="98">
        <f t="shared" ref="N168:P168" si="90">hundred*N99*$H57*N86/$H43/days_in_year/(1+$H29)*PowerFactor</f>
        <v>0</v>
      </c>
      <c r="O168" s="98">
        <f t="shared" si="90"/>
        <v>0</v>
      </c>
      <c r="P168" s="98">
        <f t="shared" si="90"/>
        <v>0.11650362356004547</v>
      </c>
      <c r="Q168" s="98">
        <f t="shared" ref="Q168" si="91">hundred*Q99*$H57*Q86/$H43/days_in_year/(1+$H29)*PowerFactor</f>
        <v>0</v>
      </c>
      <c r="R168" s="79"/>
      <c r="S168" s="79"/>
      <c r="T168" s="79"/>
      <c r="U168" s="79"/>
      <c r="V168" s="79"/>
      <c r="W168" s="79"/>
      <c r="X168" s="79"/>
      <c r="Y168" s="79"/>
    </row>
    <row r="169" spans="3:25" x14ac:dyDescent="0.25">
      <c r="C169" s="88"/>
      <c r="F169" t="s">
        <v>197</v>
      </c>
      <c r="G169" t="s">
        <v>271</v>
      </c>
      <c r="J169" s="98">
        <f t="shared" ref="J169:K169" si="92">hundred*J100*$H58*J87/$H44/days_in_year/(1+$H30)*PowerFactor</f>
        <v>0</v>
      </c>
      <c r="K169" s="98">
        <f t="shared" si="92"/>
        <v>0</v>
      </c>
      <c r="L169" s="98">
        <f t="shared" ref="L169:M169" si="93">hundred*L100*$H58*L87/$H44/days_in_year/(1+$H30)*PowerFactor</f>
        <v>0</v>
      </c>
      <c r="M169" s="98">
        <f t="shared" si="93"/>
        <v>0</v>
      </c>
      <c r="N169" s="98">
        <f t="shared" ref="N169:P169" si="94">hundred*N100*$H58*N87/$H44/days_in_year/(1+$H30)*PowerFactor</f>
        <v>0.4587721545418002</v>
      </c>
      <c r="O169" s="98">
        <f t="shared" si="94"/>
        <v>2.2278963163509498</v>
      </c>
      <c r="P169" s="98">
        <f t="shared" si="94"/>
        <v>2.2044895737722867</v>
      </c>
      <c r="Q169" s="98">
        <f t="shared" ref="Q169" si="95">hundred*Q100*$H58*Q87/$H44/days_in_year/(1+$H30)*PowerFactor</f>
        <v>0</v>
      </c>
      <c r="R169" s="79"/>
      <c r="S169" s="79"/>
      <c r="T169" s="79"/>
      <c r="U169" s="79"/>
      <c r="V169" s="79"/>
      <c r="W169" s="79"/>
      <c r="X169" s="79"/>
      <c r="Y169" s="79"/>
    </row>
    <row r="170" spans="3:25" x14ac:dyDescent="0.25">
      <c r="C170" s="88"/>
      <c r="F170" t="s">
        <v>198</v>
      </c>
      <c r="G170" t="s">
        <v>271</v>
      </c>
      <c r="J170" s="98">
        <f t="shared" ref="J170:K170" si="96">hundred*J101*$H59*J88/$H45/days_in_year/(1+$H31)*PowerFactor</f>
        <v>0</v>
      </c>
      <c r="K170" s="98">
        <f t="shared" si="96"/>
        <v>0</v>
      </c>
      <c r="L170" s="98">
        <f t="shared" ref="L170:M170" si="97">hundred*L101*$H59*L88/$H45/days_in_year/(1+$H31)*PowerFactor</f>
        <v>0</v>
      </c>
      <c r="M170" s="98">
        <f t="shared" si="97"/>
        <v>0</v>
      </c>
      <c r="N170" s="98">
        <f t="shared" ref="N170:P170" si="98">hundred*N101*$H59*N88/$H45/days_in_year/(1+$H31)*PowerFactor</f>
        <v>1.0500196811494187</v>
      </c>
      <c r="O170" s="98">
        <f t="shared" si="98"/>
        <v>1.0198243099846394</v>
      </c>
      <c r="P170" s="98">
        <f t="shared" si="98"/>
        <v>0</v>
      </c>
      <c r="Q170" s="98">
        <f t="shared" ref="Q170" si="99">hundred*Q101*$H59*Q88/$H45/days_in_year/(1+$H31)*PowerFactor</f>
        <v>0</v>
      </c>
      <c r="R170" s="79"/>
      <c r="S170" s="79"/>
      <c r="T170" s="79"/>
      <c r="U170" s="79"/>
      <c r="V170" s="79"/>
      <c r="W170" s="79"/>
      <c r="X170" s="79"/>
      <c r="Y170" s="79"/>
    </row>
    <row r="171" spans="3:25" x14ac:dyDescent="0.25">
      <c r="C171" s="88"/>
      <c r="F171" t="s">
        <v>199</v>
      </c>
      <c r="G171" t="s">
        <v>271</v>
      </c>
      <c r="J171" s="98">
        <f t="shared" ref="J171:K171" si="100">hundred*J102*$H60*J89/$H46/days_in_year/(1+$H32)*PowerFactor</f>
        <v>2.0105929765986374</v>
      </c>
      <c r="K171" s="98">
        <f t="shared" si="100"/>
        <v>2.0105929765986374</v>
      </c>
      <c r="L171" s="98">
        <f t="shared" ref="L171:M171" si="101">hundred*L102*$H60*L89/$H46/days_in_year/(1+$H32)*PowerFactor</f>
        <v>2.0105929765986374</v>
      </c>
      <c r="M171" s="98">
        <f t="shared" si="101"/>
        <v>2.0105929765986374</v>
      </c>
      <c r="N171" s="98">
        <f t="shared" ref="N171:P171" si="102">hundred*N102*$H60*N89/$H46/days_in_year/(1+$H32)*PowerFactor</f>
        <v>2.0105929765986374</v>
      </c>
      <c r="O171" s="98">
        <f t="shared" si="102"/>
        <v>0</v>
      </c>
      <c r="P171" s="98">
        <f t="shared" si="102"/>
        <v>0</v>
      </c>
      <c r="Q171" s="98">
        <f t="shared" ref="Q171" si="103">hundred*Q102*$H60*Q89/$H46/days_in_year/(1+$H32)*PowerFactor</f>
        <v>0</v>
      </c>
      <c r="R171" s="79"/>
      <c r="S171" s="79"/>
      <c r="T171" s="79"/>
      <c r="U171" s="79"/>
      <c r="V171" s="79"/>
      <c r="W171" s="79"/>
      <c r="X171" s="79"/>
      <c r="Y171" s="79"/>
    </row>
    <row r="172" spans="3:25" x14ac:dyDescent="0.25">
      <c r="C172" s="88"/>
      <c r="F172" t="s">
        <v>376</v>
      </c>
      <c r="G172" t="s">
        <v>271</v>
      </c>
      <c r="J172" s="79"/>
      <c r="K172" s="79"/>
      <c r="L172" s="79"/>
      <c r="M172" s="79"/>
      <c r="N172" s="79"/>
      <c r="O172" s="79"/>
      <c r="P172" s="79"/>
      <c r="Q172" s="79"/>
      <c r="R172" s="79"/>
      <c r="S172" s="79"/>
      <c r="T172" s="79"/>
      <c r="U172" s="79"/>
      <c r="V172" s="79"/>
      <c r="W172" s="79"/>
      <c r="X172" s="79"/>
      <c r="Y172" s="79"/>
    </row>
    <row r="173" spans="3:25" x14ac:dyDescent="0.25">
      <c r="C173" s="88"/>
      <c r="F173" s="37" t="s">
        <v>377</v>
      </c>
      <c r="G173" s="37" t="s">
        <v>271</v>
      </c>
      <c r="H173" s="37"/>
      <c r="I173" s="37"/>
      <c r="J173" s="81"/>
      <c r="K173" s="81"/>
      <c r="L173" s="81"/>
      <c r="M173" s="81"/>
      <c r="N173" s="81"/>
      <c r="O173" s="81"/>
      <c r="P173" s="81"/>
      <c r="Q173" s="81"/>
      <c r="R173" s="81"/>
      <c r="S173" s="81"/>
      <c r="T173" s="81"/>
      <c r="U173" s="81"/>
      <c r="V173" s="81"/>
      <c r="W173" s="81"/>
      <c r="X173" s="81"/>
      <c r="Y173" s="81"/>
    </row>
    <row r="174" spans="3:25" x14ac:dyDescent="0.25">
      <c r="C174" s="88"/>
      <c r="D174"/>
      <c r="J174" s="89"/>
      <c r="K174" s="89"/>
      <c r="L174" s="89"/>
      <c r="M174" s="89"/>
      <c r="N174" s="89"/>
      <c r="O174" s="89"/>
      <c r="P174" s="89"/>
      <c r="Q174" s="89"/>
      <c r="R174" s="89"/>
      <c r="S174" s="89"/>
      <c r="T174" s="89"/>
      <c r="U174" s="89"/>
      <c r="V174" s="89"/>
      <c r="W174" s="89"/>
      <c r="X174" s="89"/>
      <c r="Y174" s="89"/>
    </row>
    <row r="175" spans="3:25" x14ac:dyDescent="0.25">
      <c r="C175" s="88"/>
      <c r="E175" s="32" t="s">
        <v>622</v>
      </c>
      <c r="J175" s="89"/>
      <c r="K175" s="89"/>
      <c r="L175" s="89"/>
      <c r="M175" s="89"/>
      <c r="N175" s="89"/>
      <c r="O175" s="89"/>
      <c r="P175" s="89"/>
      <c r="Q175" s="89"/>
      <c r="R175" s="89"/>
      <c r="S175" s="89"/>
      <c r="T175" s="89"/>
      <c r="U175" s="89"/>
      <c r="V175" s="89"/>
      <c r="W175" s="89"/>
      <c r="X175" s="89"/>
      <c r="Y175" s="89"/>
    </row>
    <row r="176" spans="3:25" x14ac:dyDescent="0.25">
      <c r="C176" s="88"/>
      <c r="F176" s="23" t="s">
        <v>189</v>
      </c>
      <c r="G176" s="23" t="s">
        <v>271</v>
      </c>
      <c r="H176" s="23"/>
      <c r="I176" s="23"/>
      <c r="J176" s="126">
        <f t="shared" ref="J176:K176" si="104">hundred*J94*$H65*J80/$H37/days_in_year/(1+$H23)*PowerFactor</f>
        <v>0</v>
      </c>
      <c r="K176" s="126">
        <f t="shared" si="104"/>
        <v>0</v>
      </c>
      <c r="L176" s="126">
        <f t="shared" ref="L176:M176" si="105">hundred*L94*$H65*L80/$H37/days_in_year/(1+$H23)*PowerFactor</f>
        <v>0</v>
      </c>
      <c r="M176" s="126">
        <f t="shared" si="105"/>
        <v>0</v>
      </c>
      <c r="N176" s="126">
        <f t="shared" ref="N176:P176" si="106">hundred*N94*$H65*N80/$H37/days_in_year/(1+$H23)*PowerFactor</f>
        <v>0</v>
      </c>
      <c r="O176" s="126">
        <f t="shared" si="106"/>
        <v>0</v>
      </c>
      <c r="P176" s="126">
        <f t="shared" si="106"/>
        <v>0</v>
      </c>
      <c r="Q176" s="126">
        <f t="shared" ref="Q176" si="107">hundred*Q94*$H65*Q80/$H37/days_in_year/(1+$H23)*PowerFactor</f>
        <v>0</v>
      </c>
      <c r="R176" s="83"/>
      <c r="S176" s="83"/>
      <c r="T176" s="83"/>
      <c r="U176" s="83"/>
      <c r="V176" s="83"/>
      <c r="W176" s="83"/>
      <c r="X176" s="83"/>
      <c r="Y176" s="83"/>
    </row>
    <row r="177" spans="3:27" x14ac:dyDescent="0.25">
      <c r="C177" s="88"/>
      <c r="F177" t="s">
        <v>191</v>
      </c>
      <c r="G177" t="s">
        <v>271</v>
      </c>
      <c r="J177" s="98">
        <f t="shared" ref="J177:K177" si="108">hundred*J94*$H66*J81/$H38/days_in_year/(1+$H24)*PowerFactor</f>
        <v>0</v>
      </c>
      <c r="K177" s="98">
        <f t="shared" si="108"/>
        <v>0</v>
      </c>
      <c r="L177" s="98">
        <f t="shared" ref="L177:M177" si="109">hundred*L94*$H66*L81/$H38/days_in_year/(1+$H24)*PowerFactor</f>
        <v>0</v>
      </c>
      <c r="M177" s="98">
        <f t="shared" si="109"/>
        <v>0</v>
      </c>
      <c r="N177" s="98">
        <f t="shared" ref="N177:P177" si="110">hundred*N94*$H66*N81/$H38/days_in_year/(1+$H24)*PowerFactor</f>
        <v>0</v>
      </c>
      <c r="O177" s="98">
        <f t="shared" si="110"/>
        <v>0</v>
      </c>
      <c r="P177" s="98">
        <f t="shared" si="110"/>
        <v>0</v>
      </c>
      <c r="Q177" s="98">
        <f t="shared" ref="Q177" si="111">hundred*Q94*$H66*Q81/$H38/days_in_year/(1+$H24)*PowerFactor</f>
        <v>0</v>
      </c>
      <c r="R177" s="79"/>
      <c r="S177" s="79"/>
      <c r="T177" s="79"/>
      <c r="U177" s="79"/>
      <c r="V177" s="79"/>
      <c r="W177" s="79"/>
      <c r="X177" s="79"/>
      <c r="Y177" s="79"/>
    </row>
    <row r="178" spans="3:27" x14ac:dyDescent="0.25">
      <c r="C178" s="88"/>
      <c r="F178" t="s">
        <v>192</v>
      </c>
      <c r="G178" t="s">
        <v>271</v>
      </c>
      <c r="J178" s="98">
        <f t="shared" ref="J178:K178" si="112">hundred*J95*$H67*J82/$H39/days_in_year/(1+$H25)*PowerFactor</f>
        <v>0</v>
      </c>
      <c r="K178" s="98">
        <f t="shared" si="112"/>
        <v>0</v>
      </c>
      <c r="L178" s="98">
        <f t="shared" ref="L178:M178" si="113">hundred*L95*$H67*L82/$H39/days_in_year/(1+$H25)*PowerFactor</f>
        <v>0</v>
      </c>
      <c r="M178" s="98">
        <f t="shared" si="113"/>
        <v>0</v>
      </c>
      <c r="N178" s="98">
        <f t="shared" ref="N178:P178" si="114">hundred*N95*$H67*N82/$H39/days_in_year/(1+$H25)*PowerFactor</f>
        <v>0</v>
      </c>
      <c r="O178" s="98">
        <f t="shared" si="114"/>
        <v>0</v>
      </c>
      <c r="P178" s="98">
        <f t="shared" si="114"/>
        <v>1.2696753392432468E-2</v>
      </c>
      <c r="Q178" s="98">
        <f t="shared" ref="Q178" si="115">hundred*Q95*$H67*Q82/$H39/days_in_year/(1+$H25)*PowerFactor</f>
        <v>0</v>
      </c>
      <c r="R178" s="79"/>
      <c r="S178" s="79"/>
      <c r="T178" s="79"/>
      <c r="U178" s="79"/>
      <c r="V178" s="79"/>
      <c r="W178" s="79"/>
      <c r="X178" s="79"/>
      <c r="Y178" s="79"/>
    </row>
    <row r="179" spans="3:27" x14ac:dyDescent="0.25">
      <c r="C179" s="88"/>
      <c r="F179" t="s">
        <v>193</v>
      </c>
      <c r="G179" t="s">
        <v>271</v>
      </c>
      <c r="J179" s="98">
        <f t="shared" ref="J179:K179" si="116">hundred*J96*$H68*J83/$H40/days_in_year/(1+$H26)*PowerFactor</f>
        <v>0</v>
      </c>
      <c r="K179" s="98">
        <f t="shared" si="116"/>
        <v>0</v>
      </c>
      <c r="L179" s="98">
        <f t="shared" ref="L179:M179" si="117">hundred*L96*$H68*L83/$H40/days_in_year/(1+$H26)*PowerFactor</f>
        <v>0</v>
      </c>
      <c r="M179" s="98">
        <f t="shared" si="117"/>
        <v>0</v>
      </c>
      <c r="N179" s="98">
        <f t="shared" ref="N179:P179" si="118">hundred*N96*$H68*N83/$H40/days_in_year/(1+$H26)*PowerFactor</f>
        <v>0</v>
      </c>
      <c r="O179" s="98">
        <f t="shared" si="118"/>
        <v>0</v>
      </c>
      <c r="P179" s="98">
        <f t="shared" si="118"/>
        <v>0</v>
      </c>
      <c r="Q179" s="98">
        <f t="shared" ref="Q179" si="119">hundred*Q96*$H68*Q83/$H40/days_in_year/(1+$H26)*PowerFactor</f>
        <v>0</v>
      </c>
      <c r="R179" s="79"/>
      <c r="S179" s="79"/>
      <c r="T179" s="79"/>
      <c r="U179" s="79"/>
      <c r="V179" s="79"/>
      <c r="W179" s="79"/>
      <c r="X179" s="79"/>
      <c r="Y179" s="79"/>
    </row>
    <row r="180" spans="3:27" x14ac:dyDescent="0.25">
      <c r="C180" s="88"/>
      <c r="F180" t="s">
        <v>194</v>
      </c>
      <c r="G180" t="s">
        <v>271</v>
      </c>
      <c r="J180" s="98">
        <f t="shared" ref="J180:K180" si="120">hundred*J97*$H69*J84/$H41/days_in_year/(1+$H27)*PowerFactor</f>
        <v>0</v>
      </c>
      <c r="K180" s="98">
        <f t="shared" si="120"/>
        <v>0</v>
      </c>
      <c r="L180" s="98">
        <f t="shared" ref="L180:M180" si="121">hundred*L97*$H69*L84/$H41/days_in_year/(1+$H27)*PowerFactor</f>
        <v>0</v>
      </c>
      <c r="M180" s="98">
        <f t="shared" si="121"/>
        <v>0</v>
      </c>
      <c r="N180" s="98">
        <f t="shared" ref="N180:P180" si="122">hundred*N97*$H69*N84/$H41/days_in_year/(1+$H27)*PowerFactor</f>
        <v>0</v>
      </c>
      <c r="O180" s="98">
        <f t="shared" si="122"/>
        <v>0</v>
      </c>
      <c r="P180" s="98">
        <f t="shared" si="122"/>
        <v>0.1012091723472324</v>
      </c>
      <c r="Q180" s="98">
        <f t="shared" ref="Q180" si="123">hundred*Q97*$H69*Q84/$H41/days_in_year/(1+$H27)*PowerFactor</f>
        <v>0</v>
      </c>
      <c r="R180" s="79"/>
      <c r="S180" s="79"/>
      <c r="T180" s="79"/>
      <c r="U180" s="79"/>
      <c r="V180" s="79"/>
      <c r="W180" s="79"/>
      <c r="X180" s="79"/>
      <c r="Y180" s="79"/>
    </row>
    <row r="181" spans="3:27" x14ac:dyDescent="0.25">
      <c r="C181" s="88"/>
      <c r="F181" t="s">
        <v>195</v>
      </c>
      <c r="G181" t="s">
        <v>271</v>
      </c>
      <c r="J181" s="98">
        <f t="shared" ref="J181:K181" si="124">hundred*J98*$H70*J85/$H42/days_in_year/(1+$H28)*PowerFactor</f>
        <v>0</v>
      </c>
      <c r="K181" s="98">
        <f t="shared" si="124"/>
        <v>0</v>
      </c>
      <c r="L181" s="98">
        <f t="shared" ref="L181:M181" si="125">hundred*L98*$H70*L85/$H42/days_in_year/(1+$H28)*PowerFactor</f>
        <v>0</v>
      </c>
      <c r="M181" s="98">
        <f t="shared" si="125"/>
        <v>0</v>
      </c>
      <c r="N181" s="98">
        <f t="shared" ref="N181:P181" si="126">hundred*N98*$H70*N85/$H42/days_in_year/(1+$H28)*PowerFactor</f>
        <v>0</v>
      </c>
      <c r="O181" s="98">
        <f t="shared" si="126"/>
        <v>0</v>
      </c>
      <c r="P181" s="98">
        <f t="shared" si="126"/>
        <v>0.81408325657504732</v>
      </c>
      <c r="Q181" s="98">
        <f t="shared" ref="Q181" si="127">hundred*Q98*$H70*Q85/$H42/days_in_year/(1+$H28)*PowerFactor</f>
        <v>0</v>
      </c>
      <c r="R181" s="79"/>
      <c r="S181" s="79"/>
      <c r="T181" s="79"/>
      <c r="U181" s="79"/>
      <c r="V181" s="79"/>
      <c r="W181" s="79"/>
      <c r="X181" s="79"/>
      <c r="Y181" s="79"/>
    </row>
    <row r="182" spans="3:27" x14ac:dyDescent="0.25">
      <c r="C182" s="88"/>
      <c r="F182" t="s">
        <v>196</v>
      </c>
      <c r="G182" t="s">
        <v>271</v>
      </c>
      <c r="J182" s="98">
        <f t="shared" ref="J182:K182" si="128">hundred*J99*$H71*J86/$H43/days_in_year/(1+$H29)*PowerFactor</f>
        <v>0</v>
      </c>
      <c r="K182" s="98">
        <f t="shared" si="128"/>
        <v>0</v>
      </c>
      <c r="L182" s="98">
        <f t="shared" ref="L182:M182" si="129">hundred*L99*$H71*L86/$H43/days_in_year/(1+$H29)*PowerFactor</f>
        <v>0</v>
      </c>
      <c r="M182" s="98">
        <f t="shared" si="129"/>
        <v>0</v>
      </c>
      <c r="N182" s="98">
        <f t="shared" ref="N182:P182" si="130">hundred*N99*$H71*N86/$H43/days_in_year/(1+$H29)*PowerFactor</f>
        <v>0</v>
      </c>
      <c r="O182" s="98">
        <f t="shared" si="130"/>
        <v>0</v>
      </c>
      <c r="P182" s="98">
        <f t="shared" si="130"/>
        <v>7.3968295233696038E-2</v>
      </c>
      <c r="Q182" s="98">
        <f t="shared" ref="Q182" si="131">hundred*Q99*$H71*Q86/$H43/days_in_year/(1+$H29)*PowerFactor</f>
        <v>0</v>
      </c>
      <c r="R182" s="79"/>
      <c r="S182" s="79"/>
      <c r="T182" s="79"/>
      <c r="U182" s="79"/>
      <c r="V182" s="79"/>
      <c r="W182" s="79"/>
      <c r="X182" s="79"/>
      <c r="Y182" s="79"/>
    </row>
    <row r="183" spans="3:27" x14ac:dyDescent="0.25">
      <c r="C183" s="88"/>
      <c r="F183" t="s">
        <v>197</v>
      </c>
      <c r="G183" t="s">
        <v>271</v>
      </c>
      <c r="J183" s="98">
        <f t="shared" ref="J183:K183" si="132">hundred*J100*$H72*J87/$H44/days_in_year/(1+$H30)*PowerFactor</f>
        <v>0</v>
      </c>
      <c r="K183" s="98">
        <f t="shared" si="132"/>
        <v>0</v>
      </c>
      <c r="L183" s="98">
        <f t="shared" ref="L183:M183" si="133">hundred*L100*$H72*L87/$H44/days_in_year/(1+$H30)*PowerFactor</f>
        <v>0</v>
      </c>
      <c r="M183" s="98">
        <f t="shared" si="133"/>
        <v>0</v>
      </c>
      <c r="N183" s="98">
        <f t="shared" ref="N183:P183" si="134">hundred*N100*$H72*N87/$H44/days_in_year/(1+$H30)*PowerFactor</f>
        <v>0.29127501046915477</v>
      </c>
      <c r="O183" s="98">
        <f t="shared" si="134"/>
        <v>1.4144941371113404</v>
      </c>
      <c r="P183" s="98">
        <f t="shared" si="134"/>
        <v>1.3996331671894451</v>
      </c>
      <c r="Q183" s="98">
        <f t="shared" ref="Q183" si="135">hundred*Q100*$H72*Q87/$H44/days_in_year/(1+$H30)*PowerFactor</f>
        <v>0</v>
      </c>
      <c r="R183" s="79"/>
      <c r="S183" s="79"/>
      <c r="T183" s="79"/>
      <c r="U183" s="79"/>
      <c r="V183" s="79"/>
      <c r="W183" s="79"/>
      <c r="X183" s="79"/>
      <c r="Y183" s="79"/>
    </row>
    <row r="184" spans="3:27" x14ac:dyDescent="0.25">
      <c r="C184" s="88"/>
      <c r="F184" t="s">
        <v>198</v>
      </c>
      <c r="G184" t="s">
        <v>271</v>
      </c>
      <c r="J184" s="98">
        <f t="shared" ref="J184:K184" si="136">hundred*J101*$H73*J88/$H45/days_in_year/(1+$H31)*PowerFactor</f>
        <v>0</v>
      </c>
      <c r="K184" s="98">
        <f t="shared" si="136"/>
        <v>0</v>
      </c>
      <c r="L184" s="98">
        <f t="shared" ref="L184:M184" si="137">hundred*L101*$H73*L88/$H45/days_in_year/(1+$H31)*PowerFactor</f>
        <v>0</v>
      </c>
      <c r="M184" s="98">
        <f t="shared" si="137"/>
        <v>0</v>
      </c>
      <c r="N184" s="98">
        <f t="shared" ref="N184:P184" si="138">hundred*N101*$H73*N88/$H45/days_in_year/(1+$H31)*PowerFactor</f>
        <v>0.66665879912672221</v>
      </c>
      <c r="O184" s="98">
        <f t="shared" si="138"/>
        <v>0.64748772048764192</v>
      </c>
      <c r="P184" s="98">
        <f t="shared" si="138"/>
        <v>0</v>
      </c>
      <c r="Q184" s="98">
        <f t="shared" ref="Q184" si="139">hundred*Q101*$H73*Q88/$H45/days_in_year/(1+$H31)*PowerFactor</f>
        <v>0</v>
      </c>
      <c r="R184" s="79"/>
      <c r="S184" s="79"/>
      <c r="T184" s="79"/>
      <c r="U184" s="79"/>
      <c r="V184" s="79"/>
      <c r="W184" s="79"/>
      <c r="X184" s="79"/>
      <c r="Y184" s="79"/>
    </row>
    <row r="185" spans="3:27" x14ac:dyDescent="0.25">
      <c r="C185" s="88"/>
      <c r="F185" t="s">
        <v>199</v>
      </c>
      <c r="G185" t="s">
        <v>271</v>
      </c>
      <c r="J185" s="98">
        <f t="shared" ref="J185:K185" si="140">hundred*J102*$H74*J89/$H46/days_in_year/(1+$H32)*PowerFactor</f>
        <v>1.2765279769276361</v>
      </c>
      <c r="K185" s="98">
        <f t="shared" si="140"/>
        <v>1.2765279769276361</v>
      </c>
      <c r="L185" s="98">
        <f t="shared" ref="L185:M185" si="141">hundred*L102*$H74*L89/$H46/days_in_year/(1+$H32)*PowerFactor</f>
        <v>1.2765279769276361</v>
      </c>
      <c r="M185" s="98">
        <f t="shared" si="141"/>
        <v>1.2765279769276361</v>
      </c>
      <c r="N185" s="98">
        <f t="shared" ref="N185:P185" si="142">hundred*N102*$H74*N89/$H46/days_in_year/(1+$H32)*PowerFactor</f>
        <v>1.2765279769276361</v>
      </c>
      <c r="O185" s="98">
        <f t="shared" si="142"/>
        <v>0</v>
      </c>
      <c r="P185" s="98">
        <f t="shared" si="142"/>
        <v>0</v>
      </c>
      <c r="Q185" s="98">
        <f t="shared" ref="Q185" si="143">hundred*Q102*$H74*Q89/$H46/days_in_year/(1+$H32)*PowerFactor</f>
        <v>0</v>
      </c>
      <c r="R185" s="79"/>
      <c r="S185" s="79"/>
      <c r="T185" s="79"/>
      <c r="U185" s="79"/>
      <c r="V185" s="79"/>
      <c r="W185" s="79"/>
      <c r="X185" s="79"/>
      <c r="Y185" s="79"/>
    </row>
    <row r="186" spans="3:27" x14ac:dyDescent="0.25">
      <c r="C186" s="88"/>
      <c r="F186" t="s">
        <v>376</v>
      </c>
      <c r="G186" t="s">
        <v>271</v>
      </c>
      <c r="J186" s="79"/>
      <c r="K186" s="79"/>
      <c r="L186" s="79"/>
      <c r="M186" s="79"/>
      <c r="N186" s="79"/>
      <c r="O186" s="79"/>
      <c r="P186" s="79"/>
      <c r="Q186" s="79"/>
      <c r="R186" s="79"/>
      <c r="S186" s="79"/>
      <c r="T186" s="79"/>
      <c r="U186" s="79"/>
      <c r="V186" s="79"/>
      <c r="W186" s="79"/>
      <c r="X186" s="79"/>
      <c r="Y186" s="79"/>
    </row>
    <row r="187" spans="3:27" x14ac:dyDescent="0.25">
      <c r="C187" s="88"/>
      <c r="F187" s="37" t="s">
        <v>377</v>
      </c>
      <c r="G187" s="37" t="s">
        <v>271</v>
      </c>
      <c r="H187" s="37"/>
      <c r="I187" s="37"/>
      <c r="J187" s="81"/>
      <c r="K187" s="81"/>
      <c r="L187" s="81"/>
      <c r="M187" s="81"/>
      <c r="N187" s="81"/>
      <c r="O187" s="81"/>
      <c r="P187" s="81"/>
      <c r="Q187" s="81"/>
      <c r="R187" s="81"/>
      <c r="S187" s="81"/>
      <c r="T187" s="81"/>
      <c r="U187" s="81"/>
      <c r="V187" s="81"/>
      <c r="W187" s="81"/>
      <c r="X187" s="81"/>
      <c r="Y187" s="81"/>
    </row>
    <row r="188" spans="3:27" x14ac:dyDescent="0.25">
      <c r="C188" s="88"/>
      <c r="J188" s="89"/>
      <c r="K188" s="89"/>
      <c r="L188" s="89"/>
      <c r="M188" s="89"/>
      <c r="N188" s="89"/>
      <c r="O188" s="89"/>
      <c r="P188" s="89"/>
      <c r="Q188" s="89"/>
      <c r="R188" s="89"/>
      <c r="S188" s="89"/>
      <c r="T188" s="89"/>
      <c r="U188" s="89"/>
      <c r="V188" s="89"/>
      <c r="W188" s="89"/>
      <c r="X188" s="89"/>
      <c r="Y188" s="89"/>
    </row>
    <row r="189" spans="3:27" x14ac:dyDescent="0.25">
      <c r="C189" s="31" t="str">
        <f ca="1">INDEX('Version control'!$H$34:$H$57,MATCH($A$1,'Version control'!$F$34:$F$57,0),1)&amp;"-D: Capacity charges for eligible customers, by network level"</f>
        <v>Section 113-D: Capacity charges for eligible customers, by network level</v>
      </c>
      <c r="D189" s="31"/>
      <c r="E189" s="31"/>
      <c r="F189" s="31"/>
      <c r="G189" s="31"/>
      <c r="H189" s="31"/>
      <c r="I189" s="31"/>
      <c r="J189" s="90"/>
      <c r="K189" s="90"/>
      <c r="L189" s="90"/>
      <c r="M189" s="90"/>
      <c r="N189" s="90"/>
      <c r="O189" s="90"/>
      <c r="P189" s="90"/>
      <c r="Q189" s="90"/>
      <c r="R189" s="90"/>
      <c r="S189" s="90"/>
      <c r="T189" s="90"/>
      <c r="U189" s="90"/>
      <c r="V189" s="90"/>
      <c r="W189" s="90"/>
      <c r="X189" s="90"/>
      <c r="Y189" s="90"/>
      <c r="Z189" s="31"/>
      <c r="AA189" s="31"/>
    </row>
    <row r="190" spans="3:27" x14ac:dyDescent="0.25">
      <c r="D190" s="32"/>
      <c r="E190" s="32"/>
      <c r="I190" t="s">
        <v>154</v>
      </c>
      <c r="J190" s="89"/>
      <c r="K190" s="89"/>
      <c r="L190" s="89"/>
      <c r="M190" s="89"/>
      <c r="N190" s="89"/>
      <c r="O190" s="89"/>
      <c r="P190" s="89"/>
      <c r="Q190" s="89"/>
      <c r="R190" s="89"/>
      <c r="S190" s="89"/>
      <c r="T190" s="89"/>
      <c r="U190" s="89"/>
      <c r="V190" s="89"/>
      <c r="W190" s="89"/>
      <c r="X190" s="89"/>
      <c r="Y190" s="89"/>
      <c r="AA190" t="s">
        <v>705</v>
      </c>
    </row>
    <row r="191" spans="3:27" x14ac:dyDescent="0.25">
      <c r="C191" s="88"/>
      <c r="D191"/>
      <c r="E191" s="32" t="s">
        <v>621</v>
      </c>
      <c r="J191" s="89"/>
      <c r="K191" s="89"/>
      <c r="L191" s="89"/>
      <c r="M191" s="89"/>
      <c r="N191" s="89"/>
      <c r="O191" s="89"/>
      <c r="P191" s="89"/>
      <c r="Q191" s="89"/>
      <c r="R191" s="89"/>
      <c r="S191" s="89"/>
      <c r="T191" s="89"/>
      <c r="U191" s="89"/>
      <c r="V191" s="89"/>
      <c r="W191" s="89"/>
      <c r="X191" s="89"/>
      <c r="Y191" s="89"/>
    </row>
    <row r="192" spans="3:27" x14ac:dyDescent="0.25">
      <c r="C192" s="88"/>
      <c r="D192"/>
      <c r="F192" s="23" t="s">
        <v>189</v>
      </c>
      <c r="G192" s="23" t="s">
        <v>271</v>
      </c>
      <c r="H192" s="23"/>
      <c r="I192" s="23"/>
      <c r="J192" s="83"/>
      <c r="K192" s="83"/>
      <c r="L192" s="83"/>
      <c r="M192" s="83"/>
      <c r="N192" s="83"/>
      <c r="O192" s="83"/>
      <c r="P192" s="83"/>
      <c r="Q192" s="83"/>
      <c r="R192" s="83"/>
      <c r="S192" s="83"/>
      <c r="T192" s="83"/>
      <c r="U192" s="83"/>
      <c r="V192" s="83"/>
      <c r="W192" s="83"/>
      <c r="X192" s="83"/>
      <c r="Y192" s="83"/>
    </row>
    <row r="193" spans="3:25" x14ac:dyDescent="0.25">
      <c r="C193" s="88"/>
      <c r="D193"/>
      <c r="F193" t="s">
        <v>191</v>
      </c>
      <c r="G193" t="s">
        <v>271</v>
      </c>
      <c r="J193" s="79"/>
      <c r="K193" s="79"/>
      <c r="L193" s="79"/>
      <c r="M193" s="79"/>
      <c r="N193" s="79"/>
      <c r="O193" s="79"/>
      <c r="P193" s="79"/>
      <c r="Q193" s="79"/>
      <c r="R193" s="79"/>
      <c r="S193" s="79"/>
      <c r="T193" s="79"/>
      <c r="U193" s="79"/>
      <c r="V193" s="79"/>
      <c r="W193" s="79"/>
      <c r="X193" s="79"/>
      <c r="Y193" s="79"/>
    </row>
    <row r="194" spans="3:25" x14ac:dyDescent="0.25">
      <c r="C194" s="88"/>
      <c r="D194"/>
      <c r="F194" t="s">
        <v>192</v>
      </c>
      <c r="G194" t="s">
        <v>271</v>
      </c>
      <c r="J194" s="98">
        <f t="shared" ref="J194:K194" si="144">J$121 * J134</f>
        <v>0</v>
      </c>
      <c r="K194" s="98">
        <f t="shared" si="144"/>
        <v>0</v>
      </c>
      <c r="L194" s="98">
        <f t="shared" ref="L194:M194" si="145">L$121 * L134</f>
        <v>0</v>
      </c>
      <c r="M194" s="98">
        <f t="shared" si="145"/>
        <v>0</v>
      </c>
      <c r="N194" s="98">
        <f t="shared" ref="N194:P194" si="146">N$121 * N134</f>
        <v>0</v>
      </c>
      <c r="O194" s="98">
        <f t="shared" si="146"/>
        <v>0</v>
      </c>
      <c r="P194" s="98">
        <f t="shared" si="146"/>
        <v>1.9997997425697443E-2</v>
      </c>
      <c r="Q194" s="98">
        <f t="shared" ref="Q194" si="147">Q$121 * Q134</f>
        <v>0</v>
      </c>
      <c r="R194" s="79"/>
      <c r="S194" s="79"/>
      <c r="T194" s="79"/>
      <c r="U194" s="79"/>
      <c r="V194" s="79"/>
      <c r="W194" s="79"/>
      <c r="X194" s="79"/>
      <c r="Y194" s="79"/>
    </row>
    <row r="195" spans="3:25" x14ac:dyDescent="0.25">
      <c r="C195" s="88"/>
      <c r="D195"/>
      <c r="F195" t="s">
        <v>193</v>
      </c>
      <c r="G195" t="s">
        <v>271</v>
      </c>
      <c r="J195" s="98">
        <f t="shared" ref="J195:K195" si="148">J$121 * J135</f>
        <v>0</v>
      </c>
      <c r="K195" s="98">
        <f t="shared" si="148"/>
        <v>0</v>
      </c>
      <c r="L195" s="98">
        <f t="shared" ref="L195:M195" si="149">L$121 * L135</f>
        <v>0</v>
      </c>
      <c r="M195" s="98">
        <f t="shared" si="149"/>
        <v>0</v>
      </c>
      <c r="N195" s="98">
        <f t="shared" ref="N195:P195" si="150">N$121 * N135</f>
        <v>0</v>
      </c>
      <c r="O195" s="98">
        <f t="shared" si="150"/>
        <v>0</v>
      </c>
      <c r="P195" s="98">
        <f t="shared" si="150"/>
        <v>0</v>
      </c>
      <c r="Q195" s="98">
        <f t="shared" ref="Q195" si="151">Q$121 * Q135</f>
        <v>0</v>
      </c>
      <c r="R195" s="79"/>
      <c r="S195" s="79"/>
      <c r="T195" s="79"/>
      <c r="U195" s="79"/>
      <c r="V195" s="79"/>
      <c r="W195" s="79"/>
      <c r="X195" s="79"/>
      <c r="Y195" s="79"/>
    </row>
    <row r="196" spans="3:25" x14ac:dyDescent="0.25">
      <c r="C196" s="88"/>
      <c r="D196"/>
      <c r="F196" t="s">
        <v>194</v>
      </c>
      <c r="G196" t="s">
        <v>271</v>
      </c>
      <c r="J196" s="98">
        <f t="shared" ref="J196:K196" si="152">J$121 * J136</f>
        <v>0</v>
      </c>
      <c r="K196" s="98">
        <f t="shared" si="152"/>
        <v>0</v>
      </c>
      <c r="L196" s="98">
        <f t="shared" ref="L196:M196" si="153">L$121 * L136</f>
        <v>0</v>
      </c>
      <c r="M196" s="98">
        <f t="shared" si="153"/>
        <v>0</v>
      </c>
      <c r="N196" s="98">
        <f t="shared" ref="N196:P196" si="154">N$121 * N136</f>
        <v>0</v>
      </c>
      <c r="O196" s="98">
        <f t="shared" si="154"/>
        <v>0</v>
      </c>
      <c r="P196" s="98">
        <f t="shared" si="154"/>
        <v>0.14898075023051932</v>
      </c>
      <c r="Q196" s="98">
        <f t="shared" ref="Q196" si="155">Q$121 * Q136</f>
        <v>0</v>
      </c>
      <c r="R196" s="79"/>
      <c r="S196" s="79"/>
      <c r="T196" s="79"/>
      <c r="U196" s="79"/>
      <c r="V196" s="79"/>
      <c r="W196" s="79"/>
      <c r="X196" s="79"/>
      <c r="Y196" s="79"/>
    </row>
    <row r="197" spans="3:25" x14ac:dyDescent="0.25">
      <c r="C197" s="88"/>
      <c r="D197"/>
      <c r="F197" t="s">
        <v>195</v>
      </c>
      <c r="G197" t="s">
        <v>271</v>
      </c>
      <c r="J197" s="98">
        <f t="shared" ref="J197:K197" si="156">J$121 * J137</f>
        <v>0</v>
      </c>
      <c r="K197" s="98">
        <f t="shared" si="156"/>
        <v>0</v>
      </c>
      <c r="L197" s="98">
        <f t="shared" ref="L197:M197" si="157">L$121 * L137</f>
        <v>0</v>
      </c>
      <c r="M197" s="98">
        <f t="shared" si="157"/>
        <v>0</v>
      </c>
      <c r="N197" s="98">
        <f t="shared" ref="N197:P197" si="158">N$121 * N137</f>
        <v>0</v>
      </c>
      <c r="O197" s="98">
        <f t="shared" si="158"/>
        <v>0</v>
      </c>
      <c r="P197" s="98">
        <f t="shared" si="158"/>
        <v>0.83135365565729591</v>
      </c>
      <c r="Q197" s="98">
        <f t="shared" ref="Q197" si="159">Q$121 * Q137</f>
        <v>0</v>
      </c>
      <c r="R197" s="79"/>
      <c r="S197" s="79"/>
      <c r="T197" s="79"/>
      <c r="U197" s="79"/>
      <c r="V197" s="79"/>
      <c r="W197" s="79"/>
      <c r="X197" s="79"/>
      <c r="Y197" s="79"/>
    </row>
    <row r="198" spans="3:25" x14ac:dyDescent="0.25">
      <c r="C198" s="88"/>
      <c r="D198"/>
      <c r="F198" t="s">
        <v>196</v>
      </c>
      <c r="G198" t="s">
        <v>271</v>
      </c>
      <c r="J198" s="98">
        <f t="shared" ref="J198:K198" si="160">J$121 * J138</f>
        <v>0</v>
      </c>
      <c r="K198" s="98">
        <f t="shared" si="160"/>
        <v>0</v>
      </c>
      <c r="L198" s="98">
        <f t="shared" ref="L198:M198" si="161">L$121 * L138</f>
        <v>0</v>
      </c>
      <c r="M198" s="98">
        <f t="shared" si="161"/>
        <v>0</v>
      </c>
      <c r="N198" s="98">
        <f t="shared" ref="N198:P198" si="162">N$121 * N138</f>
        <v>0</v>
      </c>
      <c r="O198" s="98">
        <f t="shared" si="162"/>
        <v>0</v>
      </c>
      <c r="P198" s="98">
        <f t="shared" si="162"/>
        <v>7.553749834382259E-2</v>
      </c>
      <c r="Q198" s="98">
        <f t="shared" ref="Q198" si="163">Q$121 * Q138</f>
        <v>0</v>
      </c>
      <c r="R198" s="79"/>
      <c r="S198" s="79"/>
      <c r="T198" s="79"/>
      <c r="U198" s="79"/>
      <c r="V198" s="79"/>
      <c r="W198" s="79"/>
      <c r="X198" s="79"/>
      <c r="Y198" s="79"/>
    </row>
    <row r="199" spans="3:25" x14ac:dyDescent="0.25">
      <c r="C199" s="88"/>
      <c r="D199"/>
      <c r="F199" t="s">
        <v>197</v>
      </c>
      <c r="G199" t="s">
        <v>271</v>
      </c>
      <c r="J199" s="98">
        <f t="shared" ref="J199:K199" si="164">J$121 * J139</f>
        <v>0</v>
      </c>
      <c r="K199" s="98">
        <f t="shared" si="164"/>
        <v>0</v>
      </c>
      <c r="L199" s="98">
        <f t="shared" ref="L199:M199" si="165">L$121 * L139</f>
        <v>0</v>
      </c>
      <c r="M199" s="98">
        <f t="shared" si="165"/>
        <v>0</v>
      </c>
      <c r="N199" s="98">
        <f t="shared" ref="N199:P199" si="166">N$121 * N139</f>
        <v>0.23895903772948493</v>
      </c>
      <c r="O199" s="98">
        <f t="shared" si="166"/>
        <v>1.1604365143913298</v>
      </c>
      <c r="P199" s="98">
        <f t="shared" si="166"/>
        <v>0.79837971602549074</v>
      </c>
      <c r="Q199" s="98">
        <f t="shared" ref="Q199" si="167">Q$121 * Q139</f>
        <v>0</v>
      </c>
      <c r="R199" s="79"/>
      <c r="S199" s="79"/>
      <c r="T199" s="79"/>
      <c r="U199" s="79"/>
      <c r="V199" s="79"/>
      <c r="W199" s="79"/>
      <c r="X199" s="79"/>
      <c r="Y199" s="79"/>
    </row>
    <row r="200" spans="3:25" x14ac:dyDescent="0.25">
      <c r="C200" s="88"/>
      <c r="D200"/>
      <c r="F200" t="s">
        <v>198</v>
      </c>
      <c r="G200" t="s">
        <v>271</v>
      </c>
      <c r="J200" s="98">
        <f t="shared" ref="J200:K200" si="168">J$121 * J140</f>
        <v>0</v>
      </c>
      <c r="K200" s="98">
        <f t="shared" si="168"/>
        <v>0</v>
      </c>
      <c r="L200" s="98">
        <f t="shared" ref="L200:M200" si="169">L$121 * L140</f>
        <v>0</v>
      </c>
      <c r="M200" s="98">
        <f t="shared" si="169"/>
        <v>0</v>
      </c>
      <c r="N200" s="98">
        <f t="shared" ref="N200:P200" si="170">N$121 * N140</f>
        <v>0.30563569078404124</v>
      </c>
      <c r="O200" s="98">
        <f t="shared" si="170"/>
        <v>0.29684653826613283</v>
      </c>
      <c r="P200" s="98">
        <f t="shared" si="170"/>
        <v>0</v>
      </c>
      <c r="Q200" s="98">
        <f t="shared" ref="Q200" si="171">Q$121 * Q140</f>
        <v>0</v>
      </c>
      <c r="R200" s="79"/>
      <c r="S200" s="79"/>
      <c r="T200" s="79"/>
      <c r="U200" s="79"/>
      <c r="V200" s="79"/>
      <c r="W200" s="79"/>
      <c r="X200" s="79"/>
      <c r="Y200" s="79"/>
    </row>
    <row r="201" spans="3:25" x14ac:dyDescent="0.25">
      <c r="C201" s="88"/>
      <c r="D201"/>
      <c r="F201" t="s">
        <v>199</v>
      </c>
      <c r="G201" t="s">
        <v>271</v>
      </c>
      <c r="J201" s="98">
        <f t="shared" ref="J201:K201" si="172">J$121 * J141</f>
        <v>0</v>
      </c>
      <c r="K201" s="98">
        <f t="shared" si="172"/>
        <v>0</v>
      </c>
      <c r="L201" s="98">
        <f t="shared" ref="L201:M201" si="173">L$121 * L141</f>
        <v>0</v>
      </c>
      <c r="M201" s="98">
        <f t="shared" si="173"/>
        <v>0</v>
      </c>
      <c r="N201" s="98">
        <f t="shared" ref="N201:P201" si="174">N$121 * N141</f>
        <v>0.12322085469629813</v>
      </c>
      <c r="O201" s="98">
        <f t="shared" si="174"/>
        <v>0</v>
      </c>
      <c r="P201" s="98">
        <f t="shared" si="174"/>
        <v>0</v>
      </c>
      <c r="Q201" s="98">
        <f t="shared" ref="Q201" si="175">Q$121 * Q141</f>
        <v>0</v>
      </c>
      <c r="R201" s="79"/>
      <c r="S201" s="79"/>
      <c r="T201" s="79"/>
      <c r="U201" s="79"/>
      <c r="V201" s="79"/>
      <c r="W201" s="79"/>
      <c r="X201" s="79"/>
      <c r="Y201" s="79"/>
    </row>
    <row r="202" spans="3:25" x14ac:dyDescent="0.25">
      <c r="C202" s="88"/>
      <c r="D202"/>
      <c r="F202" t="s">
        <v>376</v>
      </c>
      <c r="G202" t="s">
        <v>271</v>
      </c>
      <c r="J202" s="79"/>
      <c r="K202" s="79"/>
      <c r="L202" s="79"/>
      <c r="M202" s="79"/>
      <c r="N202" s="79"/>
      <c r="O202" s="79"/>
      <c r="P202" s="79"/>
      <c r="Q202" s="79"/>
      <c r="R202" s="79"/>
      <c r="S202" s="79"/>
      <c r="T202" s="79"/>
      <c r="U202" s="79"/>
      <c r="V202" s="79"/>
      <c r="W202" s="79"/>
      <c r="X202" s="79"/>
      <c r="Y202" s="79"/>
    </row>
    <row r="203" spans="3:25" x14ac:dyDescent="0.25">
      <c r="C203" s="88"/>
      <c r="D203"/>
      <c r="F203" s="37" t="s">
        <v>377</v>
      </c>
      <c r="G203" s="37" t="s">
        <v>271</v>
      </c>
      <c r="H203" s="37"/>
      <c r="I203" s="37"/>
      <c r="J203" s="81"/>
      <c r="K203" s="81"/>
      <c r="L203" s="81"/>
      <c r="M203" s="81"/>
      <c r="N203" s="81"/>
      <c r="O203" s="81"/>
      <c r="P203" s="81"/>
      <c r="Q203" s="81"/>
      <c r="R203" s="81"/>
      <c r="S203" s="81"/>
      <c r="T203" s="81"/>
      <c r="U203" s="81"/>
      <c r="V203" s="81"/>
      <c r="W203" s="81"/>
      <c r="X203" s="81"/>
      <c r="Y203" s="81"/>
    </row>
    <row r="204" spans="3:25" x14ac:dyDescent="0.25">
      <c r="C204" s="88"/>
      <c r="D204"/>
      <c r="J204" s="89"/>
      <c r="K204" s="89"/>
      <c r="L204" s="89"/>
      <c r="M204" s="89"/>
      <c r="N204" s="89"/>
      <c r="O204" s="89"/>
      <c r="P204" s="89"/>
      <c r="Q204" s="89"/>
      <c r="R204" s="89"/>
      <c r="S204" s="89"/>
      <c r="T204" s="89"/>
      <c r="U204" s="89"/>
      <c r="V204" s="89"/>
      <c r="W204" s="89"/>
      <c r="X204" s="89"/>
      <c r="Y204" s="89"/>
    </row>
    <row r="205" spans="3:25" x14ac:dyDescent="0.25">
      <c r="C205" s="88"/>
      <c r="D205"/>
      <c r="E205" s="32" t="s">
        <v>622</v>
      </c>
      <c r="J205" s="89"/>
      <c r="K205" s="89"/>
      <c r="L205" s="89"/>
      <c r="M205" s="89"/>
      <c r="N205" s="89"/>
      <c r="O205" s="89"/>
      <c r="P205" s="89"/>
      <c r="Q205" s="89"/>
      <c r="R205" s="89"/>
      <c r="S205" s="89"/>
      <c r="T205" s="89"/>
      <c r="U205" s="89"/>
      <c r="V205" s="89"/>
      <c r="W205" s="89"/>
      <c r="X205" s="89"/>
      <c r="Y205" s="89"/>
    </row>
    <row r="206" spans="3:25" x14ac:dyDescent="0.25">
      <c r="C206" s="88"/>
      <c r="D206"/>
      <c r="F206" s="23" t="s">
        <v>189</v>
      </c>
      <c r="G206" s="23" t="s">
        <v>271</v>
      </c>
      <c r="H206" s="23"/>
      <c r="I206" s="23"/>
      <c r="J206" s="126">
        <f t="shared" ref="J206:K206" si="176">J$121 * J146</f>
        <v>0</v>
      </c>
      <c r="K206" s="126">
        <f t="shared" si="176"/>
        <v>0</v>
      </c>
      <c r="L206" s="126">
        <f t="shared" ref="L206:M206" si="177">L$121 * L146</f>
        <v>0</v>
      </c>
      <c r="M206" s="126">
        <f t="shared" si="177"/>
        <v>0</v>
      </c>
      <c r="N206" s="126">
        <f t="shared" ref="N206:P206" si="178">N$121 * N146</f>
        <v>0</v>
      </c>
      <c r="O206" s="126">
        <f t="shared" si="178"/>
        <v>0</v>
      </c>
      <c r="P206" s="126">
        <f t="shared" si="178"/>
        <v>0</v>
      </c>
      <c r="Q206" s="126">
        <f t="shared" ref="Q206" si="179">Q$121 * Q146</f>
        <v>0</v>
      </c>
      <c r="R206" s="83"/>
      <c r="S206" s="83"/>
      <c r="T206" s="83"/>
      <c r="U206" s="83"/>
      <c r="V206" s="83"/>
      <c r="W206" s="83"/>
      <c r="X206" s="83"/>
      <c r="Y206" s="83"/>
    </row>
    <row r="207" spans="3:25" x14ac:dyDescent="0.25">
      <c r="C207" s="88"/>
      <c r="D207"/>
      <c r="F207" t="s">
        <v>191</v>
      </c>
      <c r="G207" t="s">
        <v>271</v>
      </c>
      <c r="J207" s="98">
        <f t="shared" ref="J207:K207" si="180">J$121 * J147</f>
        <v>0</v>
      </c>
      <c r="K207" s="98">
        <f t="shared" si="180"/>
        <v>0</v>
      </c>
      <c r="L207" s="98">
        <f t="shared" ref="L207:M207" si="181">L$121 * L147</f>
        <v>0</v>
      </c>
      <c r="M207" s="98">
        <f t="shared" si="181"/>
        <v>0</v>
      </c>
      <c r="N207" s="98">
        <f t="shared" ref="N207:P207" si="182">N$121 * N147</f>
        <v>0</v>
      </c>
      <c r="O207" s="98">
        <f t="shared" si="182"/>
        <v>0</v>
      </c>
      <c r="P207" s="98">
        <f t="shared" si="182"/>
        <v>0</v>
      </c>
      <c r="Q207" s="98">
        <f t="shared" ref="Q207" si="183">Q$121 * Q147</f>
        <v>0</v>
      </c>
      <c r="R207" s="79"/>
      <c r="S207" s="79"/>
      <c r="T207" s="79"/>
      <c r="U207" s="79"/>
      <c r="V207" s="79"/>
      <c r="W207" s="79"/>
      <c r="X207" s="79"/>
      <c r="Y207" s="79"/>
    </row>
    <row r="208" spans="3:25" x14ac:dyDescent="0.25">
      <c r="C208" s="88"/>
      <c r="D208"/>
      <c r="F208" t="s">
        <v>192</v>
      </c>
      <c r="G208" t="s">
        <v>271</v>
      </c>
      <c r="J208" s="98">
        <f t="shared" ref="J208:K208" si="184">J$121 * J148</f>
        <v>0</v>
      </c>
      <c r="K208" s="98">
        <f t="shared" si="184"/>
        <v>0</v>
      </c>
      <c r="L208" s="98">
        <f t="shared" ref="L208:M208" si="185">L$121 * L148</f>
        <v>0</v>
      </c>
      <c r="M208" s="98">
        <f t="shared" si="185"/>
        <v>0</v>
      </c>
      <c r="N208" s="98">
        <f t="shared" ref="N208:P208" si="186">N$121 * N148</f>
        <v>0</v>
      </c>
      <c r="O208" s="98">
        <f t="shared" si="186"/>
        <v>0</v>
      </c>
      <c r="P208" s="98">
        <f t="shared" si="186"/>
        <v>1.2696753392432468E-2</v>
      </c>
      <c r="Q208" s="98">
        <f t="shared" ref="Q208" si="187">Q$121 * Q148</f>
        <v>0</v>
      </c>
      <c r="R208" s="79"/>
      <c r="S208" s="79"/>
      <c r="T208" s="79"/>
      <c r="U208" s="79"/>
      <c r="V208" s="79"/>
      <c r="W208" s="79"/>
      <c r="X208" s="79"/>
      <c r="Y208" s="79"/>
    </row>
    <row r="209" spans="3:27" x14ac:dyDescent="0.25">
      <c r="C209" s="88"/>
      <c r="D209"/>
      <c r="F209" t="s">
        <v>193</v>
      </c>
      <c r="G209" t="s">
        <v>271</v>
      </c>
      <c r="J209" s="98">
        <f t="shared" ref="J209:K209" si="188">J$121 * J149</f>
        <v>0</v>
      </c>
      <c r="K209" s="98">
        <f t="shared" si="188"/>
        <v>0</v>
      </c>
      <c r="L209" s="98">
        <f t="shared" ref="L209:M209" si="189">L$121 * L149</f>
        <v>0</v>
      </c>
      <c r="M209" s="98">
        <f t="shared" si="189"/>
        <v>0</v>
      </c>
      <c r="N209" s="98">
        <f t="shared" ref="N209:P209" si="190">N$121 * N149</f>
        <v>0</v>
      </c>
      <c r="O209" s="98">
        <f t="shared" si="190"/>
        <v>0</v>
      </c>
      <c r="P209" s="98">
        <f t="shared" si="190"/>
        <v>0</v>
      </c>
      <c r="Q209" s="98">
        <f t="shared" ref="Q209" si="191">Q$121 * Q149</f>
        <v>0</v>
      </c>
      <c r="R209" s="79"/>
      <c r="S209" s="79"/>
      <c r="T209" s="79"/>
      <c r="U209" s="79"/>
      <c r="V209" s="79"/>
      <c r="W209" s="79"/>
      <c r="X209" s="79"/>
      <c r="Y209" s="79"/>
    </row>
    <row r="210" spans="3:27" x14ac:dyDescent="0.25">
      <c r="C210" s="88"/>
      <c r="D210"/>
      <c r="F210" t="s">
        <v>194</v>
      </c>
      <c r="G210" t="s">
        <v>271</v>
      </c>
      <c r="J210" s="98">
        <f t="shared" ref="J210:K210" si="192">J$121 * J150</f>
        <v>0</v>
      </c>
      <c r="K210" s="98">
        <f t="shared" si="192"/>
        <v>0</v>
      </c>
      <c r="L210" s="98">
        <f t="shared" ref="L210:M210" si="193">L$121 * L150</f>
        <v>0</v>
      </c>
      <c r="M210" s="98">
        <f t="shared" si="193"/>
        <v>0</v>
      </c>
      <c r="N210" s="98">
        <f t="shared" ref="N210:P210" si="194">N$121 * N150</f>
        <v>0</v>
      </c>
      <c r="O210" s="98">
        <f t="shared" si="194"/>
        <v>0</v>
      </c>
      <c r="P210" s="98">
        <f t="shared" si="194"/>
        <v>0.1012091723472324</v>
      </c>
      <c r="Q210" s="98">
        <f t="shared" ref="Q210" si="195">Q$121 * Q150</f>
        <v>0</v>
      </c>
      <c r="R210" s="79"/>
      <c r="S210" s="79"/>
      <c r="T210" s="79"/>
      <c r="U210" s="79"/>
      <c r="V210" s="79"/>
      <c r="W210" s="79"/>
      <c r="X210" s="79"/>
      <c r="Y210" s="79"/>
    </row>
    <row r="211" spans="3:27" x14ac:dyDescent="0.25">
      <c r="C211" s="88"/>
      <c r="D211"/>
      <c r="F211" t="s">
        <v>195</v>
      </c>
      <c r="G211" t="s">
        <v>271</v>
      </c>
      <c r="J211" s="98">
        <f t="shared" ref="J211:K211" si="196">J$121 * J151</f>
        <v>0</v>
      </c>
      <c r="K211" s="98">
        <f t="shared" si="196"/>
        <v>0</v>
      </c>
      <c r="L211" s="98">
        <f t="shared" ref="L211:M211" si="197">L$121 * L151</f>
        <v>0</v>
      </c>
      <c r="M211" s="98">
        <f t="shared" si="197"/>
        <v>0</v>
      </c>
      <c r="N211" s="98">
        <f t="shared" ref="N211:P211" si="198">N$121 * N151</f>
        <v>0</v>
      </c>
      <c r="O211" s="98">
        <f t="shared" si="198"/>
        <v>0</v>
      </c>
      <c r="P211" s="98">
        <f t="shared" si="198"/>
        <v>0.81408325657504732</v>
      </c>
      <c r="Q211" s="98">
        <f t="shared" ref="Q211" si="199">Q$121 * Q151</f>
        <v>0</v>
      </c>
      <c r="R211" s="79"/>
      <c r="S211" s="79"/>
      <c r="T211" s="79"/>
      <c r="U211" s="79"/>
      <c r="V211" s="79"/>
      <c r="W211" s="79"/>
      <c r="X211" s="79"/>
      <c r="Y211" s="79"/>
    </row>
    <row r="212" spans="3:27" x14ac:dyDescent="0.25">
      <c r="C212" s="88"/>
      <c r="D212"/>
      <c r="F212" t="s">
        <v>196</v>
      </c>
      <c r="G212" t="s">
        <v>271</v>
      </c>
      <c r="J212" s="98">
        <f t="shared" ref="J212:K212" si="200">J$121 * J152</f>
        <v>0</v>
      </c>
      <c r="K212" s="98">
        <f t="shared" si="200"/>
        <v>0</v>
      </c>
      <c r="L212" s="98">
        <f t="shared" ref="L212:M212" si="201">L$121 * L152</f>
        <v>0</v>
      </c>
      <c r="M212" s="98">
        <f t="shared" si="201"/>
        <v>0</v>
      </c>
      <c r="N212" s="98">
        <f t="shared" ref="N212:P212" si="202">N$121 * N152</f>
        <v>0</v>
      </c>
      <c r="O212" s="98">
        <f t="shared" si="202"/>
        <v>0</v>
      </c>
      <c r="P212" s="98">
        <f t="shared" si="202"/>
        <v>7.3968295233696038E-2</v>
      </c>
      <c r="Q212" s="98">
        <f t="shared" ref="Q212" si="203">Q$121 * Q152</f>
        <v>0</v>
      </c>
      <c r="R212" s="79"/>
      <c r="S212" s="79"/>
      <c r="T212" s="79"/>
      <c r="U212" s="79"/>
      <c r="V212" s="79"/>
      <c r="W212" s="79"/>
      <c r="X212" s="79"/>
      <c r="Y212" s="79"/>
    </row>
    <row r="213" spans="3:27" x14ac:dyDescent="0.25">
      <c r="C213" s="88"/>
      <c r="D213"/>
      <c r="F213" t="s">
        <v>197</v>
      </c>
      <c r="G213" t="s">
        <v>271</v>
      </c>
      <c r="J213" s="98">
        <f t="shared" ref="J213:K213" si="204">J$121 * J153</f>
        <v>0</v>
      </c>
      <c r="K213" s="98">
        <f t="shared" si="204"/>
        <v>0</v>
      </c>
      <c r="L213" s="98">
        <f t="shared" ref="L213:M213" si="205">L$121 * L153</f>
        <v>0</v>
      </c>
      <c r="M213" s="98">
        <f t="shared" si="205"/>
        <v>0</v>
      </c>
      <c r="N213" s="98">
        <f t="shared" ref="N213:P213" si="206">N$121 * N153</f>
        <v>0.29127501046915477</v>
      </c>
      <c r="O213" s="98">
        <f t="shared" si="206"/>
        <v>1.4144941371113404</v>
      </c>
      <c r="P213" s="98">
        <f t="shared" si="206"/>
        <v>1.3996331671894451</v>
      </c>
      <c r="Q213" s="98">
        <f t="shared" ref="Q213" si="207">Q$121 * Q153</f>
        <v>0</v>
      </c>
      <c r="R213" s="79"/>
      <c r="S213" s="79"/>
      <c r="T213" s="79"/>
      <c r="U213" s="79"/>
      <c r="V213" s="79"/>
      <c r="W213" s="79"/>
      <c r="X213" s="79"/>
      <c r="Y213" s="79"/>
    </row>
    <row r="214" spans="3:27" x14ac:dyDescent="0.25">
      <c r="C214" s="88"/>
      <c r="D214"/>
      <c r="F214" t="s">
        <v>198</v>
      </c>
      <c r="G214" t="s">
        <v>271</v>
      </c>
      <c r="J214" s="98">
        <f t="shared" ref="J214:K214" si="208">J$121 * J154</f>
        <v>0</v>
      </c>
      <c r="K214" s="98">
        <f t="shared" si="208"/>
        <v>0</v>
      </c>
      <c r="L214" s="98">
        <f t="shared" ref="L214:M214" si="209">L$121 * L154</f>
        <v>0</v>
      </c>
      <c r="M214" s="98">
        <f t="shared" si="209"/>
        <v>0</v>
      </c>
      <c r="N214" s="98">
        <f t="shared" ref="N214:P214" si="210">N$121 * N154</f>
        <v>0.66665879912672221</v>
      </c>
      <c r="O214" s="98">
        <f t="shared" si="210"/>
        <v>0.64748772048764192</v>
      </c>
      <c r="P214" s="98">
        <f t="shared" si="210"/>
        <v>0</v>
      </c>
      <c r="Q214" s="98">
        <f t="shared" ref="Q214" si="211">Q$121 * Q154</f>
        <v>0</v>
      </c>
      <c r="R214" s="79"/>
      <c r="S214" s="79"/>
      <c r="T214" s="79"/>
      <c r="U214" s="79"/>
      <c r="V214" s="79"/>
      <c r="W214" s="79"/>
      <c r="X214" s="79"/>
      <c r="Y214" s="79"/>
    </row>
    <row r="215" spans="3:27" x14ac:dyDescent="0.25">
      <c r="C215" s="88"/>
      <c r="D215"/>
      <c r="F215" t="s">
        <v>199</v>
      </c>
      <c r="G215" t="s">
        <v>271</v>
      </c>
      <c r="J215" s="98">
        <f t="shared" ref="J215:K215" si="212">J$121 * J155</f>
        <v>0</v>
      </c>
      <c r="K215" s="98">
        <f t="shared" si="212"/>
        <v>0</v>
      </c>
      <c r="L215" s="98">
        <f t="shared" ref="L215:M215" si="213">L$121 * L155</f>
        <v>0</v>
      </c>
      <c r="M215" s="98">
        <f t="shared" si="213"/>
        <v>0</v>
      </c>
      <c r="N215" s="98">
        <f t="shared" ref="N215:P215" si="214">N$121 * N155</f>
        <v>1.2765279769276361</v>
      </c>
      <c r="O215" s="98">
        <f t="shared" si="214"/>
        <v>0</v>
      </c>
      <c r="P215" s="98">
        <f t="shared" si="214"/>
        <v>0</v>
      </c>
      <c r="Q215" s="98">
        <f t="shared" ref="Q215" si="215">Q$121 * Q155</f>
        <v>0</v>
      </c>
      <c r="R215" s="79"/>
      <c r="S215" s="79"/>
      <c r="T215" s="79"/>
      <c r="U215" s="79"/>
      <c r="V215" s="79"/>
      <c r="W215" s="79"/>
      <c r="X215" s="79"/>
      <c r="Y215" s="79"/>
    </row>
    <row r="216" spans="3:27" x14ac:dyDescent="0.25">
      <c r="C216" s="88"/>
      <c r="D216"/>
      <c r="F216" t="s">
        <v>376</v>
      </c>
      <c r="G216" t="s">
        <v>271</v>
      </c>
      <c r="J216" s="79"/>
      <c r="K216" s="79"/>
      <c r="L216" s="79"/>
      <c r="M216" s="79"/>
      <c r="N216" s="79"/>
      <c r="O216" s="79"/>
      <c r="P216" s="79"/>
      <c r="Q216" s="79"/>
      <c r="R216" s="79"/>
      <c r="S216" s="79"/>
      <c r="T216" s="79"/>
      <c r="U216" s="79"/>
      <c r="V216" s="79"/>
      <c r="W216" s="79"/>
      <c r="X216" s="79"/>
      <c r="Y216" s="79"/>
    </row>
    <row r="217" spans="3:27" x14ac:dyDescent="0.25">
      <c r="C217" s="88"/>
      <c r="D217"/>
      <c r="F217" s="37" t="s">
        <v>377</v>
      </c>
      <c r="G217" s="37" t="s">
        <v>271</v>
      </c>
      <c r="H217" s="37"/>
      <c r="I217" s="37"/>
      <c r="J217" s="81"/>
      <c r="K217" s="81"/>
      <c r="L217" s="81"/>
      <c r="M217" s="81"/>
      <c r="N217" s="81"/>
      <c r="O217" s="81"/>
      <c r="P217" s="81"/>
      <c r="Q217" s="81"/>
      <c r="R217" s="81"/>
      <c r="S217" s="81"/>
      <c r="T217" s="81"/>
      <c r="U217" s="81"/>
      <c r="V217" s="81"/>
      <c r="W217" s="81"/>
      <c r="X217" s="81"/>
      <c r="Y217" s="81"/>
    </row>
    <row r="218" spans="3:27" x14ac:dyDescent="0.25">
      <c r="C218" s="88"/>
      <c r="J218" s="89"/>
      <c r="K218" s="89"/>
      <c r="L218" s="89"/>
      <c r="M218" s="89"/>
      <c r="N218" s="89"/>
      <c r="O218" s="89"/>
      <c r="P218" s="89"/>
      <c r="Q218" s="89"/>
      <c r="R218" s="89"/>
      <c r="S218" s="89"/>
      <c r="T218" s="89"/>
      <c r="U218" s="89"/>
      <c r="V218" s="89"/>
      <c r="W218" s="89"/>
      <c r="X218" s="89"/>
      <c r="Y218" s="89"/>
    </row>
    <row r="219" spans="3:27" x14ac:dyDescent="0.25">
      <c r="C219" s="31" t="str">
        <f ca="1">INDEX('Version control'!$H$34:$H$57,MATCH($A$1,'Version control'!$F$34:$F$57,0),1)&amp;"-E: Exceeded capacity charges for eligible customers, by network level"</f>
        <v>Section 113-E: Exceeded capacity charges for eligible customers, by network level</v>
      </c>
      <c r="D219" s="31"/>
      <c r="E219" s="31"/>
      <c r="F219" s="31"/>
      <c r="G219" s="31"/>
      <c r="H219" s="31"/>
      <c r="I219" s="31"/>
      <c r="J219" s="90"/>
      <c r="K219" s="90"/>
      <c r="L219" s="90"/>
      <c r="M219" s="90"/>
      <c r="N219" s="90"/>
      <c r="O219" s="90"/>
      <c r="P219" s="90"/>
      <c r="Q219" s="90"/>
      <c r="R219" s="90"/>
      <c r="S219" s="90"/>
      <c r="T219" s="90"/>
      <c r="U219" s="90"/>
      <c r="V219" s="90"/>
      <c r="W219" s="90"/>
      <c r="X219" s="90"/>
      <c r="Y219" s="90"/>
      <c r="Z219" s="31"/>
      <c r="AA219" s="31"/>
    </row>
    <row r="220" spans="3:27" x14ac:dyDescent="0.25">
      <c r="D220" s="32"/>
      <c r="E220" s="32"/>
      <c r="I220" t="s">
        <v>154</v>
      </c>
      <c r="J220" s="89"/>
      <c r="K220" s="89"/>
      <c r="L220" s="89"/>
      <c r="M220" s="89"/>
      <c r="N220" s="89"/>
      <c r="O220" s="89"/>
      <c r="P220" s="89"/>
      <c r="Q220" s="89"/>
      <c r="R220" s="89"/>
      <c r="S220" s="89"/>
      <c r="T220" s="89"/>
      <c r="U220" s="89"/>
      <c r="V220" s="89"/>
      <c r="W220" s="89"/>
      <c r="X220" s="89"/>
      <c r="Y220" s="89"/>
      <c r="AA220" t="s">
        <v>706</v>
      </c>
    </row>
    <row r="221" spans="3:27" x14ac:dyDescent="0.25">
      <c r="C221" s="88"/>
      <c r="D221"/>
      <c r="E221" s="32" t="s">
        <v>621</v>
      </c>
      <c r="J221" s="89"/>
      <c r="K221" s="89"/>
      <c r="L221" s="89"/>
      <c r="M221" s="89"/>
      <c r="N221" s="89"/>
      <c r="O221" s="89"/>
      <c r="P221" s="89"/>
      <c r="Q221" s="89"/>
      <c r="R221" s="89"/>
      <c r="S221" s="89"/>
      <c r="T221" s="89"/>
      <c r="U221" s="89"/>
      <c r="V221" s="89"/>
      <c r="W221" s="89"/>
      <c r="X221" s="89"/>
      <c r="Y221" s="89"/>
    </row>
    <row r="222" spans="3:27" x14ac:dyDescent="0.25">
      <c r="C222" s="88"/>
      <c r="D222"/>
      <c r="F222" s="23" t="s">
        <v>189</v>
      </c>
      <c r="G222" s="23" t="s">
        <v>271</v>
      </c>
      <c r="H222" s="23"/>
      <c r="I222" s="23"/>
      <c r="J222" s="83"/>
      <c r="K222" s="83"/>
      <c r="L222" s="83"/>
      <c r="M222" s="83"/>
      <c r="N222" s="83"/>
      <c r="O222" s="83"/>
      <c r="P222" s="83"/>
      <c r="Q222" s="83"/>
      <c r="R222" s="83"/>
      <c r="S222" s="83"/>
      <c r="T222" s="83"/>
      <c r="U222" s="83"/>
      <c r="V222" s="83"/>
      <c r="W222" s="83"/>
      <c r="X222" s="83"/>
      <c r="Y222" s="83"/>
    </row>
    <row r="223" spans="3:27" x14ac:dyDescent="0.25">
      <c r="C223" s="88"/>
      <c r="D223"/>
      <c r="F223" t="s">
        <v>191</v>
      </c>
      <c r="G223" t="s">
        <v>271</v>
      </c>
      <c r="J223" s="79"/>
      <c r="K223" s="79"/>
      <c r="L223" s="79"/>
      <c r="M223" s="79"/>
      <c r="N223" s="79"/>
      <c r="O223" s="79"/>
      <c r="P223" s="79"/>
      <c r="Q223" s="79"/>
      <c r="R223" s="79"/>
      <c r="S223" s="79"/>
      <c r="T223" s="79"/>
      <c r="U223" s="79"/>
      <c r="V223" s="79"/>
      <c r="W223" s="79"/>
      <c r="X223" s="79"/>
      <c r="Y223" s="79"/>
    </row>
    <row r="224" spans="3:27" x14ac:dyDescent="0.25">
      <c r="C224" s="88"/>
      <c r="D224"/>
      <c r="F224" t="s">
        <v>192</v>
      </c>
      <c r="G224" t="s">
        <v>271</v>
      </c>
      <c r="J224" s="98">
        <f t="shared" ref="J224:K224" si="216">J$122 * J164</f>
        <v>0</v>
      </c>
      <c r="K224" s="98">
        <f t="shared" si="216"/>
        <v>0</v>
      </c>
      <c r="L224" s="98">
        <f t="shared" ref="L224:M224" si="217">L$122 * L164</f>
        <v>0</v>
      </c>
      <c r="M224" s="98">
        <f t="shared" si="217"/>
        <v>0</v>
      </c>
      <c r="N224" s="98">
        <f t="shared" ref="N224:P224" si="218">N$122 * N164</f>
        <v>0</v>
      </c>
      <c r="O224" s="98">
        <f t="shared" si="218"/>
        <v>0</v>
      </c>
      <c r="P224" s="98">
        <f t="shared" si="218"/>
        <v>1.9997997425697443E-2</v>
      </c>
      <c r="Q224" s="98">
        <f t="shared" ref="Q224" si="219">Q$122 * Q164</f>
        <v>0</v>
      </c>
      <c r="R224" s="79"/>
      <c r="S224" s="79"/>
      <c r="T224" s="79"/>
      <c r="U224" s="79"/>
      <c r="V224" s="79"/>
      <c r="W224" s="79"/>
      <c r="X224" s="79"/>
      <c r="Y224" s="79"/>
    </row>
    <row r="225" spans="3:25" x14ac:dyDescent="0.25">
      <c r="C225" s="88"/>
      <c r="D225"/>
      <c r="F225" t="s">
        <v>193</v>
      </c>
      <c r="G225" t="s">
        <v>271</v>
      </c>
      <c r="J225" s="98">
        <f t="shared" ref="J225:K225" si="220">J$122 * J165</f>
        <v>0</v>
      </c>
      <c r="K225" s="98">
        <f t="shared" si="220"/>
        <v>0</v>
      </c>
      <c r="L225" s="98">
        <f t="shared" ref="L225:M225" si="221">L$122 * L165</f>
        <v>0</v>
      </c>
      <c r="M225" s="98">
        <f t="shared" si="221"/>
        <v>0</v>
      </c>
      <c r="N225" s="98">
        <f t="shared" ref="N225:P225" si="222">N$122 * N165</f>
        <v>0</v>
      </c>
      <c r="O225" s="98">
        <f t="shared" si="222"/>
        <v>0</v>
      </c>
      <c r="P225" s="98">
        <f t="shared" si="222"/>
        <v>0</v>
      </c>
      <c r="Q225" s="98">
        <f t="shared" ref="Q225" si="223">Q$122 * Q165</f>
        <v>0</v>
      </c>
      <c r="R225" s="79"/>
      <c r="S225" s="79"/>
      <c r="T225" s="79"/>
      <c r="U225" s="79"/>
      <c r="V225" s="79"/>
      <c r="W225" s="79"/>
      <c r="X225" s="79"/>
      <c r="Y225" s="79"/>
    </row>
    <row r="226" spans="3:25" x14ac:dyDescent="0.25">
      <c r="C226" s="88"/>
      <c r="D226"/>
      <c r="F226" t="s">
        <v>194</v>
      </c>
      <c r="G226" t="s">
        <v>271</v>
      </c>
      <c r="J226" s="98">
        <f t="shared" ref="J226:K226" si="224">J$122 * J166</f>
        <v>0</v>
      </c>
      <c r="K226" s="98">
        <f t="shared" si="224"/>
        <v>0</v>
      </c>
      <c r="L226" s="98">
        <f t="shared" ref="L226:M226" si="225">L$122 * L166</f>
        <v>0</v>
      </c>
      <c r="M226" s="98">
        <f t="shared" si="225"/>
        <v>0</v>
      </c>
      <c r="N226" s="98">
        <f t="shared" ref="N226:P226" si="226">N$122 * N166</f>
        <v>0</v>
      </c>
      <c r="O226" s="98">
        <f t="shared" si="226"/>
        <v>0</v>
      </c>
      <c r="P226" s="98">
        <f t="shared" si="226"/>
        <v>0.15940931555489274</v>
      </c>
      <c r="Q226" s="98">
        <f t="shared" ref="Q226" si="227">Q$122 * Q166</f>
        <v>0</v>
      </c>
      <c r="R226" s="79"/>
      <c r="S226" s="79"/>
      <c r="T226" s="79"/>
      <c r="U226" s="79"/>
      <c r="V226" s="79"/>
      <c r="W226" s="79"/>
      <c r="X226" s="79"/>
      <c r="Y226" s="79"/>
    </row>
    <row r="227" spans="3:25" x14ac:dyDescent="0.25">
      <c r="C227" s="88"/>
      <c r="D227"/>
      <c r="F227" t="s">
        <v>195</v>
      </c>
      <c r="G227" t="s">
        <v>271</v>
      </c>
      <c r="J227" s="98">
        <f t="shared" ref="J227:K227" si="228">J$122 * J167</f>
        <v>0</v>
      </c>
      <c r="K227" s="98">
        <f t="shared" si="228"/>
        <v>0</v>
      </c>
      <c r="L227" s="98">
        <f t="shared" ref="L227:M227" si="229">L$122 * L167</f>
        <v>0</v>
      </c>
      <c r="M227" s="98">
        <f t="shared" si="229"/>
        <v>0</v>
      </c>
      <c r="N227" s="98">
        <f t="shared" ref="N227:P227" si="230">N$122 * N167</f>
        <v>0</v>
      </c>
      <c r="O227" s="98">
        <f t="shared" si="230"/>
        <v>0</v>
      </c>
      <c r="P227" s="98">
        <f t="shared" si="230"/>
        <v>1.2822202941260901</v>
      </c>
      <c r="Q227" s="98">
        <f t="shared" ref="Q227" si="231">Q$122 * Q167</f>
        <v>0</v>
      </c>
      <c r="R227" s="79"/>
      <c r="S227" s="79"/>
      <c r="T227" s="79"/>
      <c r="U227" s="79"/>
      <c r="V227" s="79"/>
      <c r="W227" s="79"/>
      <c r="X227" s="79"/>
      <c r="Y227" s="79"/>
    </row>
    <row r="228" spans="3:25" x14ac:dyDescent="0.25">
      <c r="C228" s="88"/>
      <c r="D228"/>
      <c r="F228" t="s">
        <v>196</v>
      </c>
      <c r="G228" t="s">
        <v>271</v>
      </c>
      <c r="J228" s="98">
        <f t="shared" ref="J228:K228" si="232">J$122 * J168</f>
        <v>0</v>
      </c>
      <c r="K228" s="98">
        <f t="shared" si="232"/>
        <v>0</v>
      </c>
      <c r="L228" s="98">
        <f t="shared" ref="L228:M228" si="233">L$122 * L168</f>
        <v>0</v>
      </c>
      <c r="M228" s="98">
        <f t="shared" si="233"/>
        <v>0</v>
      </c>
      <c r="N228" s="98">
        <f t="shared" ref="N228:P228" si="234">N$122 * N168</f>
        <v>0</v>
      </c>
      <c r="O228" s="98">
        <f t="shared" si="234"/>
        <v>0</v>
      </c>
      <c r="P228" s="98">
        <f t="shared" si="234"/>
        <v>0.11650362356004547</v>
      </c>
      <c r="Q228" s="98">
        <f t="shared" ref="Q228" si="235">Q$122 * Q168</f>
        <v>0</v>
      </c>
      <c r="R228" s="79"/>
      <c r="S228" s="79"/>
      <c r="T228" s="79"/>
      <c r="U228" s="79"/>
      <c r="V228" s="79"/>
      <c r="W228" s="79"/>
      <c r="X228" s="79"/>
      <c r="Y228" s="79"/>
    </row>
    <row r="229" spans="3:25" x14ac:dyDescent="0.25">
      <c r="C229" s="88"/>
      <c r="D229"/>
      <c r="F229" t="s">
        <v>197</v>
      </c>
      <c r="G229" t="s">
        <v>271</v>
      </c>
      <c r="J229" s="98">
        <f t="shared" ref="J229:K229" si="236">J$122 * J169</f>
        <v>0</v>
      </c>
      <c r="K229" s="98">
        <f t="shared" si="236"/>
        <v>0</v>
      </c>
      <c r="L229" s="98">
        <f t="shared" ref="L229:M229" si="237">L$122 * L169</f>
        <v>0</v>
      </c>
      <c r="M229" s="98">
        <f t="shared" si="237"/>
        <v>0</v>
      </c>
      <c r="N229" s="98">
        <f t="shared" ref="N229:P229" si="238">N$122 * N169</f>
        <v>0.4587721545418002</v>
      </c>
      <c r="O229" s="98">
        <f t="shared" si="238"/>
        <v>2.2278963163509498</v>
      </c>
      <c r="P229" s="98">
        <f t="shared" si="238"/>
        <v>2.2044895737722867</v>
      </c>
      <c r="Q229" s="98">
        <f t="shared" ref="Q229" si="239">Q$122 * Q169</f>
        <v>0</v>
      </c>
      <c r="R229" s="79"/>
      <c r="S229" s="79"/>
      <c r="T229" s="79"/>
      <c r="U229" s="79"/>
      <c r="V229" s="79"/>
      <c r="W229" s="79"/>
      <c r="X229" s="79"/>
      <c r="Y229" s="79"/>
    </row>
    <row r="230" spans="3:25" x14ac:dyDescent="0.25">
      <c r="C230" s="88"/>
      <c r="D230"/>
      <c r="F230" t="s">
        <v>198</v>
      </c>
      <c r="G230" t="s">
        <v>271</v>
      </c>
      <c r="J230" s="98">
        <f t="shared" ref="J230:K230" si="240">J$122 * J170</f>
        <v>0</v>
      </c>
      <c r="K230" s="98">
        <f t="shared" si="240"/>
        <v>0</v>
      </c>
      <c r="L230" s="98">
        <f t="shared" ref="L230:M230" si="241">L$122 * L170</f>
        <v>0</v>
      </c>
      <c r="M230" s="98">
        <f t="shared" si="241"/>
        <v>0</v>
      </c>
      <c r="N230" s="98">
        <f t="shared" ref="N230:P230" si="242">N$122 * N170</f>
        <v>1.0500196811494187</v>
      </c>
      <c r="O230" s="98">
        <f t="shared" si="242"/>
        <v>1.0198243099846394</v>
      </c>
      <c r="P230" s="98">
        <f t="shared" si="242"/>
        <v>0</v>
      </c>
      <c r="Q230" s="98">
        <f t="shared" ref="Q230" si="243">Q$122 * Q170</f>
        <v>0</v>
      </c>
      <c r="R230" s="79"/>
      <c r="S230" s="79"/>
      <c r="T230" s="79"/>
      <c r="U230" s="79"/>
      <c r="V230" s="79"/>
      <c r="W230" s="79"/>
      <c r="X230" s="79"/>
      <c r="Y230" s="79"/>
    </row>
    <row r="231" spans="3:25" x14ac:dyDescent="0.25">
      <c r="C231" s="88"/>
      <c r="D231"/>
      <c r="F231" t="s">
        <v>199</v>
      </c>
      <c r="G231" t="s">
        <v>271</v>
      </c>
      <c r="J231" s="98">
        <f t="shared" ref="J231:K231" si="244">J$122 * J171</f>
        <v>0</v>
      </c>
      <c r="K231" s="98">
        <f t="shared" si="244"/>
        <v>0</v>
      </c>
      <c r="L231" s="98">
        <f t="shared" ref="L231:M231" si="245">L$122 * L171</f>
        <v>0</v>
      </c>
      <c r="M231" s="98">
        <f t="shared" si="245"/>
        <v>0</v>
      </c>
      <c r="N231" s="98">
        <f t="shared" ref="N231:P231" si="246">N$122 * N171</f>
        <v>2.0105929765986374</v>
      </c>
      <c r="O231" s="98">
        <f t="shared" si="246"/>
        <v>0</v>
      </c>
      <c r="P231" s="98">
        <f t="shared" si="246"/>
        <v>0</v>
      </c>
      <c r="Q231" s="98">
        <f t="shared" ref="Q231" si="247">Q$122 * Q171</f>
        <v>0</v>
      </c>
      <c r="R231" s="79"/>
      <c r="S231" s="79"/>
      <c r="T231" s="79"/>
      <c r="U231" s="79"/>
      <c r="V231" s="79"/>
      <c r="W231" s="79"/>
      <c r="X231" s="79"/>
      <c r="Y231" s="79"/>
    </row>
    <row r="232" spans="3:25" x14ac:dyDescent="0.25">
      <c r="C232" s="88"/>
      <c r="D232"/>
      <c r="F232" t="s">
        <v>376</v>
      </c>
      <c r="G232" t="s">
        <v>271</v>
      </c>
      <c r="J232" s="79"/>
      <c r="K232" s="79"/>
      <c r="L232" s="79"/>
      <c r="M232" s="79"/>
      <c r="N232" s="79"/>
      <c r="O232" s="79"/>
      <c r="P232" s="79"/>
      <c r="Q232" s="79"/>
      <c r="R232" s="79"/>
      <c r="S232" s="79"/>
      <c r="T232" s="79"/>
      <c r="U232" s="79"/>
      <c r="V232" s="79"/>
      <c r="W232" s="79"/>
      <c r="X232" s="79"/>
      <c r="Y232" s="79"/>
    </row>
    <row r="233" spans="3:25" x14ac:dyDescent="0.25">
      <c r="C233" s="88"/>
      <c r="D233"/>
      <c r="F233" s="37" t="s">
        <v>377</v>
      </c>
      <c r="G233" s="37" t="s">
        <v>271</v>
      </c>
      <c r="H233" s="37"/>
      <c r="I233" s="37"/>
      <c r="J233" s="81"/>
      <c r="K233" s="81"/>
      <c r="L233" s="81"/>
      <c r="M233" s="81"/>
      <c r="N233" s="81"/>
      <c r="O233" s="81"/>
      <c r="P233" s="81"/>
      <c r="Q233" s="81"/>
      <c r="R233" s="81"/>
      <c r="S233" s="81"/>
      <c r="T233" s="81"/>
      <c r="U233" s="81"/>
      <c r="V233" s="81"/>
      <c r="W233" s="81"/>
      <c r="X233" s="81"/>
      <c r="Y233" s="81"/>
    </row>
    <row r="234" spans="3:25" x14ac:dyDescent="0.25">
      <c r="C234" s="88"/>
      <c r="D234"/>
      <c r="J234" s="89"/>
      <c r="K234" s="89"/>
      <c r="L234" s="89"/>
      <c r="M234" s="89"/>
      <c r="N234" s="89"/>
      <c r="O234" s="89"/>
      <c r="P234" s="89"/>
      <c r="Q234" s="89"/>
      <c r="R234" s="89"/>
      <c r="S234" s="89"/>
      <c r="T234" s="89"/>
      <c r="U234" s="89"/>
      <c r="V234" s="89"/>
      <c r="W234" s="89"/>
      <c r="X234" s="89"/>
      <c r="Y234" s="89"/>
    </row>
    <row r="235" spans="3:25" x14ac:dyDescent="0.25">
      <c r="C235" s="88"/>
      <c r="D235"/>
      <c r="E235" s="32" t="s">
        <v>622</v>
      </c>
      <c r="J235" s="89"/>
      <c r="K235" s="89"/>
      <c r="L235" s="89"/>
      <c r="M235" s="89"/>
      <c r="N235" s="89"/>
      <c r="O235" s="89"/>
      <c r="P235" s="89"/>
      <c r="Q235" s="89"/>
      <c r="R235" s="89"/>
      <c r="S235" s="89"/>
      <c r="T235" s="89"/>
      <c r="U235" s="89"/>
      <c r="V235" s="89"/>
      <c r="W235" s="89"/>
      <c r="X235" s="89"/>
      <c r="Y235" s="89"/>
    </row>
    <row r="236" spans="3:25" x14ac:dyDescent="0.25">
      <c r="C236" s="88"/>
      <c r="D236"/>
      <c r="F236" s="23" t="s">
        <v>189</v>
      </c>
      <c r="G236" s="23" t="s">
        <v>271</v>
      </c>
      <c r="H236" s="23"/>
      <c r="I236" s="23"/>
      <c r="J236" s="126">
        <f t="shared" ref="J236:K236" si="248">J$122 * J176</f>
        <v>0</v>
      </c>
      <c r="K236" s="126">
        <f t="shared" si="248"/>
        <v>0</v>
      </c>
      <c r="L236" s="126">
        <f t="shared" ref="L236:M236" si="249">L$122 * L176</f>
        <v>0</v>
      </c>
      <c r="M236" s="126">
        <f t="shared" si="249"/>
        <v>0</v>
      </c>
      <c r="N236" s="126">
        <f t="shared" ref="N236:P236" si="250">N$122 * N176</f>
        <v>0</v>
      </c>
      <c r="O236" s="126">
        <f t="shared" si="250"/>
        <v>0</v>
      </c>
      <c r="P236" s="126">
        <f t="shared" si="250"/>
        <v>0</v>
      </c>
      <c r="Q236" s="126">
        <f t="shared" ref="Q236" si="251">Q$122 * Q176</f>
        <v>0</v>
      </c>
      <c r="R236" s="83"/>
      <c r="S236" s="83"/>
      <c r="T236" s="83"/>
      <c r="U236" s="83"/>
      <c r="V236" s="83"/>
      <c r="W236" s="83"/>
      <c r="X236" s="83"/>
      <c r="Y236" s="83"/>
    </row>
    <row r="237" spans="3:25" x14ac:dyDescent="0.25">
      <c r="C237" s="88"/>
      <c r="D237"/>
      <c r="F237" t="s">
        <v>191</v>
      </c>
      <c r="G237" t="s">
        <v>271</v>
      </c>
      <c r="J237" s="98">
        <f t="shared" ref="J237:K237" si="252">J$122 * J177</f>
        <v>0</v>
      </c>
      <c r="K237" s="98">
        <f t="shared" si="252"/>
        <v>0</v>
      </c>
      <c r="L237" s="98">
        <f t="shared" ref="L237:M237" si="253">L$122 * L177</f>
        <v>0</v>
      </c>
      <c r="M237" s="98">
        <f t="shared" si="253"/>
        <v>0</v>
      </c>
      <c r="N237" s="98">
        <f t="shared" ref="N237:P237" si="254">N$122 * N177</f>
        <v>0</v>
      </c>
      <c r="O237" s="98">
        <f t="shared" si="254"/>
        <v>0</v>
      </c>
      <c r="P237" s="98">
        <f t="shared" si="254"/>
        <v>0</v>
      </c>
      <c r="Q237" s="98">
        <f t="shared" ref="Q237" si="255">Q$122 * Q177</f>
        <v>0</v>
      </c>
      <c r="R237" s="79"/>
      <c r="S237" s="79"/>
      <c r="T237" s="79"/>
      <c r="U237" s="79"/>
      <c r="V237" s="79"/>
      <c r="W237" s="79"/>
      <c r="X237" s="79"/>
      <c r="Y237" s="79"/>
    </row>
    <row r="238" spans="3:25" x14ac:dyDescent="0.25">
      <c r="C238" s="88"/>
      <c r="D238"/>
      <c r="F238" t="s">
        <v>192</v>
      </c>
      <c r="G238" t="s">
        <v>271</v>
      </c>
      <c r="J238" s="98">
        <f t="shared" ref="J238:K238" si="256">J$122 * J178</f>
        <v>0</v>
      </c>
      <c r="K238" s="98">
        <f t="shared" si="256"/>
        <v>0</v>
      </c>
      <c r="L238" s="98">
        <f t="shared" ref="L238:M238" si="257">L$122 * L178</f>
        <v>0</v>
      </c>
      <c r="M238" s="98">
        <f t="shared" si="257"/>
        <v>0</v>
      </c>
      <c r="N238" s="98">
        <f t="shared" ref="N238:P238" si="258">N$122 * N178</f>
        <v>0</v>
      </c>
      <c r="O238" s="98">
        <f t="shared" si="258"/>
        <v>0</v>
      </c>
      <c r="P238" s="98">
        <f t="shared" si="258"/>
        <v>1.2696753392432468E-2</v>
      </c>
      <c r="Q238" s="98">
        <f t="shared" ref="Q238" si="259">Q$122 * Q178</f>
        <v>0</v>
      </c>
      <c r="R238" s="79"/>
      <c r="S238" s="79"/>
      <c r="T238" s="79"/>
      <c r="U238" s="79"/>
      <c r="V238" s="79"/>
      <c r="W238" s="79"/>
      <c r="X238" s="79"/>
      <c r="Y238" s="79"/>
    </row>
    <row r="239" spans="3:25" x14ac:dyDescent="0.25">
      <c r="C239" s="88"/>
      <c r="D239"/>
      <c r="F239" t="s">
        <v>193</v>
      </c>
      <c r="G239" t="s">
        <v>271</v>
      </c>
      <c r="J239" s="98">
        <f t="shared" ref="J239:K239" si="260">J$122 * J179</f>
        <v>0</v>
      </c>
      <c r="K239" s="98">
        <f t="shared" si="260"/>
        <v>0</v>
      </c>
      <c r="L239" s="98">
        <f t="shared" ref="L239:M239" si="261">L$122 * L179</f>
        <v>0</v>
      </c>
      <c r="M239" s="98">
        <f t="shared" si="261"/>
        <v>0</v>
      </c>
      <c r="N239" s="98">
        <f t="shared" ref="N239:P239" si="262">N$122 * N179</f>
        <v>0</v>
      </c>
      <c r="O239" s="98">
        <f t="shared" si="262"/>
        <v>0</v>
      </c>
      <c r="P239" s="98">
        <f t="shared" si="262"/>
        <v>0</v>
      </c>
      <c r="Q239" s="98">
        <f t="shared" ref="Q239" si="263">Q$122 * Q179</f>
        <v>0</v>
      </c>
      <c r="R239" s="79"/>
      <c r="S239" s="79"/>
      <c r="T239" s="79"/>
      <c r="U239" s="79"/>
      <c r="V239" s="79"/>
      <c r="W239" s="79"/>
      <c r="X239" s="79"/>
      <c r="Y239" s="79"/>
    </row>
    <row r="240" spans="3:25" x14ac:dyDescent="0.25">
      <c r="C240" s="88"/>
      <c r="D240"/>
      <c r="F240" t="s">
        <v>194</v>
      </c>
      <c r="G240" t="s">
        <v>271</v>
      </c>
      <c r="J240" s="98">
        <f t="shared" ref="J240:K240" si="264">J$122 * J180</f>
        <v>0</v>
      </c>
      <c r="K240" s="98">
        <f t="shared" si="264"/>
        <v>0</v>
      </c>
      <c r="L240" s="98">
        <f t="shared" ref="L240:M240" si="265">L$122 * L180</f>
        <v>0</v>
      </c>
      <c r="M240" s="98">
        <f t="shared" si="265"/>
        <v>0</v>
      </c>
      <c r="N240" s="98">
        <f t="shared" ref="N240:P240" si="266">N$122 * N180</f>
        <v>0</v>
      </c>
      <c r="O240" s="98">
        <f t="shared" si="266"/>
        <v>0</v>
      </c>
      <c r="P240" s="98">
        <f t="shared" si="266"/>
        <v>0.1012091723472324</v>
      </c>
      <c r="Q240" s="98">
        <f t="shared" ref="Q240" si="267">Q$122 * Q180</f>
        <v>0</v>
      </c>
      <c r="R240" s="79"/>
      <c r="S240" s="79"/>
      <c r="T240" s="79"/>
      <c r="U240" s="79"/>
      <c r="V240" s="79"/>
      <c r="W240" s="79"/>
      <c r="X240" s="79"/>
      <c r="Y240" s="79"/>
    </row>
    <row r="241" spans="2:27" x14ac:dyDescent="0.25">
      <c r="C241" s="88"/>
      <c r="D241"/>
      <c r="F241" t="s">
        <v>195</v>
      </c>
      <c r="G241" t="s">
        <v>271</v>
      </c>
      <c r="J241" s="98">
        <f t="shared" ref="J241:K241" si="268">J$122 * J181</f>
        <v>0</v>
      </c>
      <c r="K241" s="98">
        <f t="shared" si="268"/>
        <v>0</v>
      </c>
      <c r="L241" s="98">
        <f t="shared" ref="L241:M241" si="269">L$122 * L181</f>
        <v>0</v>
      </c>
      <c r="M241" s="98">
        <f t="shared" si="269"/>
        <v>0</v>
      </c>
      <c r="N241" s="98">
        <f t="shared" ref="N241:P241" si="270">N$122 * N181</f>
        <v>0</v>
      </c>
      <c r="O241" s="98">
        <f t="shared" si="270"/>
        <v>0</v>
      </c>
      <c r="P241" s="98">
        <f t="shared" si="270"/>
        <v>0.81408325657504732</v>
      </c>
      <c r="Q241" s="98">
        <f t="shared" ref="Q241" si="271">Q$122 * Q181</f>
        <v>0</v>
      </c>
      <c r="R241" s="79"/>
      <c r="S241" s="79"/>
      <c r="T241" s="79"/>
      <c r="U241" s="79"/>
      <c r="V241" s="79"/>
      <c r="W241" s="79"/>
      <c r="X241" s="79"/>
      <c r="Y241" s="79"/>
    </row>
    <row r="242" spans="2:27" x14ac:dyDescent="0.25">
      <c r="C242" s="88"/>
      <c r="D242"/>
      <c r="F242" t="s">
        <v>196</v>
      </c>
      <c r="G242" t="s">
        <v>271</v>
      </c>
      <c r="J242" s="98">
        <f t="shared" ref="J242:K242" si="272">J$122 * J182</f>
        <v>0</v>
      </c>
      <c r="K242" s="98">
        <f t="shared" si="272"/>
        <v>0</v>
      </c>
      <c r="L242" s="98">
        <f t="shared" ref="L242:M242" si="273">L$122 * L182</f>
        <v>0</v>
      </c>
      <c r="M242" s="98">
        <f t="shared" si="273"/>
        <v>0</v>
      </c>
      <c r="N242" s="98">
        <f t="shared" ref="N242:P242" si="274">N$122 * N182</f>
        <v>0</v>
      </c>
      <c r="O242" s="98">
        <f t="shared" si="274"/>
        <v>0</v>
      </c>
      <c r="P242" s="98">
        <f t="shared" si="274"/>
        <v>7.3968295233696038E-2</v>
      </c>
      <c r="Q242" s="98">
        <f t="shared" ref="Q242" si="275">Q$122 * Q182</f>
        <v>0</v>
      </c>
      <c r="R242" s="79"/>
      <c r="S242" s="79"/>
      <c r="T242" s="79"/>
      <c r="U242" s="79"/>
      <c r="V242" s="79"/>
      <c r="W242" s="79"/>
      <c r="X242" s="79"/>
      <c r="Y242" s="79"/>
    </row>
    <row r="243" spans="2:27" x14ac:dyDescent="0.25">
      <c r="C243" s="88"/>
      <c r="D243"/>
      <c r="F243" t="s">
        <v>197</v>
      </c>
      <c r="G243" t="s">
        <v>271</v>
      </c>
      <c r="J243" s="98">
        <f t="shared" ref="J243:K243" si="276">J$122 * J183</f>
        <v>0</v>
      </c>
      <c r="K243" s="98">
        <f t="shared" si="276"/>
        <v>0</v>
      </c>
      <c r="L243" s="98">
        <f t="shared" ref="L243:M243" si="277">L$122 * L183</f>
        <v>0</v>
      </c>
      <c r="M243" s="98">
        <f t="shared" si="277"/>
        <v>0</v>
      </c>
      <c r="N243" s="98">
        <f t="shared" ref="N243:P243" si="278">N$122 * N183</f>
        <v>0.29127501046915477</v>
      </c>
      <c r="O243" s="98">
        <f t="shared" si="278"/>
        <v>1.4144941371113404</v>
      </c>
      <c r="P243" s="98">
        <f t="shared" si="278"/>
        <v>1.3996331671894451</v>
      </c>
      <c r="Q243" s="98">
        <f t="shared" ref="Q243" si="279">Q$122 * Q183</f>
        <v>0</v>
      </c>
      <c r="R243" s="79"/>
      <c r="S243" s="79"/>
      <c r="T243" s="79"/>
      <c r="U243" s="79"/>
      <c r="V243" s="79"/>
      <c r="W243" s="79"/>
      <c r="X243" s="79"/>
      <c r="Y243" s="79"/>
    </row>
    <row r="244" spans="2:27" x14ac:dyDescent="0.25">
      <c r="C244" s="88"/>
      <c r="D244"/>
      <c r="F244" t="s">
        <v>198</v>
      </c>
      <c r="G244" t="s">
        <v>271</v>
      </c>
      <c r="J244" s="98">
        <f t="shared" ref="J244:K244" si="280">J$122 * J184</f>
        <v>0</v>
      </c>
      <c r="K244" s="98">
        <f t="shared" si="280"/>
        <v>0</v>
      </c>
      <c r="L244" s="98">
        <f t="shared" ref="L244:M244" si="281">L$122 * L184</f>
        <v>0</v>
      </c>
      <c r="M244" s="98">
        <f t="shared" si="281"/>
        <v>0</v>
      </c>
      <c r="N244" s="98">
        <f t="shared" ref="N244:P244" si="282">N$122 * N184</f>
        <v>0.66665879912672221</v>
      </c>
      <c r="O244" s="98">
        <f t="shared" si="282"/>
        <v>0.64748772048764192</v>
      </c>
      <c r="P244" s="98">
        <f t="shared" si="282"/>
        <v>0</v>
      </c>
      <c r="Q244" s="98">
        <f t="shared" ref="Q244" si="283">Q$122 * Q184</f>
        <v>0</v>
      </c>
      <c r="R244" s="79"/>
      <c r="S244" s="79"/>
      <c r="T244" s="79"/>
      <c r="U244" s="79"/>
      <c r="V244" s="79"/>
      <c r="W244" s="79"/>
      <c r="X244" s="79"/>
      <c r="Y244" s="79"/>
    </row>
    <row r="245" spans="2:27" x14ac:dyDescent="0.25">
      <c r="C245" s="88"/>
      <c r="D245"/>
      <c r="F245" t="s">
        <v>199</v>
      </c>
      <c r="G245" t="s">
        <v>271</v>
      </c>
      <c r="J245" s="98">
        <f t="shared" ref="J245:K245" si="284">J$122 * J185</f>
        <v>0</v>
      </c>
      <c r="K245" s="98">
        <f t="shared" si="284"/>
        <v>0</v>
      </c>
      <c r="L245" s="98">
        <f t="shared" ref="L245:M245" si="285">L$122 * L185</f>
        <v>0</v>
      </c>
      <c r="M245" s="98">
        <f t="shared" si="285"/>
        <v>0</v>
      </c>
      <c r="N245" s="98">
        <f t="shared" ref="N245:P245" si="286">N$122 * N185</f>
        <v>1.2765279769276361</v>
      </c>
      <c r="O245" s="98">
        <f t="shared" si="286"/>
        <v>0</v>
      </c>
      <c r="P245" s="98">
        <f t="shared" si="286"/>
        <v>0</v>
      </c>
      <c r="Q245" s="98">
        <f t="shared" ref="Q245" si="287">Q$122 * Q185</f>
        <v>0</v>
      </c>
      <c r="R245" s="79"/>
      <c r="S245" s="79"/>
      <c r="T245" s="79"/>
      <c r="U245" s="79"/>
      <c r="V245" s="79"/>
      <c r="W245" s="79"/>
      <c r="X245" s="79"/>
      <c r="Y245" s="79"/>
    </row>
    <row r="246" spans="2:27" x14ac:dyDescent="0.25">
      <c r="C246" s="88"/>
      <c r="D246"/>
      <c r="F246" t="s">
        <v>376</v>
      </c>
      <c r="G246" t="s">
        <v>271</v>
      </c>
      <c r="J246" s="79"/>
      <c r="K246" s="79"/>
      <c r="L246" s="79"/>
      <c r="M246" s="79"/>
      <c r="N246" s="79"/>
      <c r="O246" s="79"/>
      <c r="P246" s="79"/>
      <c r="Q246" s="79"/>
      <c r="R246" s="79"/>
      <c r="S246" s="79"/>
      <c r="T246" s="79"/>
      <c r="U246" s="79"/>
      <c r="V246" s="79"/>
      <c r="W246" s="79"/>
      <c r="X246" s="79"/>
      <c r="Y246" s="79"/>
    </row>
    <row r="247" spans="2:27" x14ac:dyDescent="0.25">
      <c r="C247" s="88"/>
      <c r="D247"/>
      <c r="F247" s="37" t="s">
        <v>377</v>
      </c>
      <c r="G247" s="37" t="s">
        <v>271</v>
      </c>
      <c r="H247" s="37"/>
      <c r="I247" s="37"/>
      <c r="J247" s="81"/>
      <c r="K247" s="81"/>
      <c r="L247" s="81"/>
      <c r="M247" s="81"/>
      <c r="N247" s="81"/>
      <c r="O247" s="81"/>
      <c r="P247" s="81"/>
      <c r="Q247" s="81"/>
      <c r="R247" s="81"/>
      <c r="S247" s="81"/>
      <c r="T247" s="81"/>
      <c r="U247" s="81"/>
      <c r="V247" s="81"/>
      <c r="W247" s="81"/>
      <c r="X247" s="81"/>
      <c r="Y247" s="81"/>
    </row>
    <row r="248" spans="2:27" x14ac:dyDescent="0.25">
      <c r="C248" s="88"/>
      <c r="J248" s="89"/>
      <c r="K248" s="89"/>
      <c r="L248" s="89"/>
      <c r="M248" s="89"/>
      <c r="N248" s="89"/>
      <c r="O248" s="89"/>
      <c r="P248" s="89"/>
      <c r="Q248" s="89"/>
      <c r="R248" s="89"/>
      <c r="S248" s="89"/>
      <c r="T248" s="89"/>
      <c r="U248" s="89"/>
      <c r="V248" s="89"/>
      <c r="W248" s="89"/>
      <c r="X248" s="89"/>
      <c r="Y248" s="89"/>
    </row>
    <row r="249" spans="2:27" x14ac:dyDescent="0.25">
      <c r="B249" s="30" t="s">
        <v>707</v>
      </c>
      <c r="C249" s="30"/>
      <c r="D249" s="30"/>
      <c r="E249" s="30"/>
      <c r="F249" s="30"/>
      <c r="G249" s="30"/>
      <c r="H249" s="30"/>
      <c r="I249" s="30"/>
      <c r="J249" s="184"/>
      <c r="K249" s="184"/>
      <c r="L249" s="184"/>
      <c r="M249" s="184"/>
      <c r="N249" s="184"/>
      <c r="O249" s="184"/>
      <c r="P249" s="184"/>
      <c r="Q249" s="184"/>
      <c r="R249" s="184"/>
      <c r="S249" s="184"/>
      <c r="T249" s="184"/>
      <c r="U249" s="184"/>
      <c r="V249" s="184"/>
      <c r="W249" s="184"/>
      <c r="X249" s="184"/>
      <c r="Y249" s="184"/>
      <c r="Z249" s="30"/>
      <c r="AA249" s="30"/>
    </row>
    <row r="250" spans="2:27" x14ac:dyDescent="0.25">
      <c r="J250" s="89"/>
      <c r="K250" s="89"/>
      <c r="L250" s="89"/>
      <c r="M250" s="89"/>
      <c r="N250" s="89"/>
      <c r="O250" s="89"/>
      <c r="P250" s="89"/>
      <c r="Q250" s="89"/>
      <c r="R250" s="89"/>
      <c r="S250" s="89"/>
      <c r="T250" s="89"/>
      <c r="U250" s="89"/>
      <c r="V250" s="89"/>
      <c r="W250" s="89"/>
      <c r="X250" s="89"/>
      <c r="Y250" s="89"/>
    </row>
    <row r="251" spans="2:27" x14ac:dyDescent="0.25">
      <c r="B251" s="203"/>
      <c r="C251" s="29" t="s">
        <v>708</v>
      </c>
      <c r="D251"/>
      <c r="E251"/>
      <c r="J251" s="89"/>
      <c r="K251" s="89"/>
      <c r="L251" s="89"/>
      <c r="M251" s="89"/>
      <c r="N251" s="89"/>
      <c r="O251" s="89"/>
      <c r="P251" s="89"/>
      <c r="Q251" s="89"/>
      <c r="R251" s="89"/>
      <c r="S251" s="89"/>
      <c r="T251" s="89"/>
      <c r="U251" s="89"/>
      <c r="V251" s="89"/>
      <c r="W251" s="89"/>
      <c r="X251" s="89"/>
      <c r="Y251" s="89"/>
    </row>
    <row r="252" spans="2:27" x14ac:dyDescent="0.25">
      <c r="B252" s="203"/>
      <c r="C252" s="29" t="s">
        <v>709</v>
      </c>
      <c r="D252"/>
      <c r="E252"/>
      <c r="J252" s="89"/>
      <c r="K252" s="89"/>
      <c r="L252" s="89"/>
      <c r="M252" s="89"/>
      <c r="N252" s="89"/>
      <c r="O252" s="89"/>
      <c r="P252" s="89"/>
      <c r="Q252" s="89"/>
      <c r="R252" s="89"/>
      <c r="S252" s="89"/>
      <c r="T252" s="89"/>
      <c r="U252" s="89"/>
      <c r="V252" s="89"/>
      <c r="W252" s="89"/>
      <c r="X252" s="89"/>
      <c r="Y252" s="89"/>
    </row>
    <row r="253" spans="2:27" x14ac:dyDescent="0.25">
      <c r="J253" s="89"/>
      <c r="K253" s="89"/>
      <c r="L253" s="89"/>
      <c r="M253" s="89"/>
      <c r="N253" s="89"/>
      <c r="O253" s="89"/>
      <c r="P253" s="89"/>
      <c r="Q253" s="89"/>
      <c r="R253" s="89"/>
      <c r="S253" s="89"/>
      <c r="T253" s="89"/>
      <c r="U253" s="89"/>
      <c r="V253" s="89"/>
      <c r="W253" s="89"/>
      <c r="X253" s="89"/>
      <c r="Y253" s="89"/>
    </row>
    <row r="254" spans="2:27" x14ac:dyDescent="0.25">
      <c r="C254" s="31" t="str">
        <f ca="1">INDEX('Version control'!$H$34:$H$57,MATCH($A$1,'Version control'!$F$34:$F$57,0),1)&amp;"-F: Capacity and exceeded capacity charges"</f>
        <v>Section 113-F: Capacity and exceeded capacity charges</v>
      </c>
      <c r="D254" s="31"/>
      <c r="E254" s="31"/>
      <c r="F254" s="31"/>
      <c r="G254" s="31"/>
      <c r="H254" s="31"/>
      <c r="I254" s="31"/>
      <c r="J254" s="90"/>
      <c r="K254" s="90"/>
      <c r="L254" s="90"/>
      <c r="M254" s="90"/>
      <c r="N254" s="90"/>
      <c r="O254" s="90"/>
      <c r="P254" s="90"/>
      <c r="Q254" s="90"/>
      <c r="R254" s="90"/>
      <c r="S254" s="90"/>
      <c r="T254" s="90"/>
      <c r="U254" s="90"/>
      <c r="V254" s="90"/>
      <c r="W254" s="90"/>
      <c r="X254" s="90"/>
      <c r="Y254" s="90"/>
      <c r="Z254" s="31"/>
      <c r="AA254" s="31"/>
    </row>
    <row r="255" spans="2:27" x14ac:dyDescent="0.25">
      <c r="J255" s="89"/>
      <c r="K255" s="89"/>
      <c r="L255" s="89"/>
      <c r="M255" s="89"/>
      <c r="N255" s="89"/>
      <c r="O255" s="89"/>
      <c r="P255" s="89"/>
      <c r="Q255" s="89"/>
      <c r="R255" s="89"/>
      <c r="S255" s="89"/>
      <c r="T255" s="89"/>
      <c r="U255" s="89"/>
      <c r="V255" s="89"/>
      <c r="W255" s="89"/>
      <c r="X255" s="89"/>
      <c r="Y255" s="89"/>
    </row>
    <row r="256" spans="2:27" x14ac:dyDescent="0.25">
      <c r="E256" t="s">
        <v>710</v>
      </c>
      <c r="G256" t="s">
        <v>271</v>
      </c>
      <c r="I256" t="s">
        <v>154</v>
      </c>
      <c r="J256" s="121">
        <f t="shared" ref="J256:K256" si="288">SUM(J192:J203,J206:J217)</f>
        <v>0</v>
      </c>
      <c r="K256" s="121">
        <f t="shared" si="288"/>
        <v>0</v>
      </c>
      <c r="L256" s="121">
        <f t="shared" ref="L256:M256" si="289">SUM(L192:L203,L206:L217)</f>
        <v>0</v>
      </c>
      <c r="M256" s="121">
        <f t="shared" si="289"/>
        <v>0</v>
      </c>
      <c r="N256" s="121">
        <f t="shared" ref="N256:P256" si="290">SUM(N192:N203,N206:N217)</f>
        <v>2.9022773697333371</v>
      </c>
      <c r="O256" s="121">
        <f t="shared" si="290"/>
        <v>3.5192649102564451</v>
      </c>
      <c r="P256" s="121">
        <f t="shared" si="290"/>
        <v>4.2758402624206795</v>
      </c>
      <c r="Q256" s="121">
        <f t="shared" ref="Q256" si="291">SUM(Q192:Q203,Q206:Q217)</f>
        <v>0</v>
      </c>
      <c r="R256" s="79"/>
      <c r="S256" s="79"/>
      <c r="T256" s="79"/>
      <c r="U256" s="79"/>
      <c r="V256" s="79"/>
      <c r="W256" s="79"/>
      <c r="X256" s="79"/>
      <c r="Y256" s="79"/>
      <c r="AA256" t="s">
        <v>711</v>
      </c>
    </row>
    <row r="257" spans="3:27" x14ac:dyDescent="0.25">
      <c r="E257" t="s">
        <v>712</v>
      </c>
      <c r="G257" t="s">
        <v>271</v>
      </c>
      <c r="I257" t="s">
        <v>154</v>
      </c>
      <c r="J257" s="121">
        <f t="shared" ref="J257:K257" si="292">SUM(J222:J233,J236:J247)</f>
        <v>0</v>
      </c>
      <c r="K257" s="121">
        <f t="shared" si="292"/>
        <v>0</v>
      </c>
      <c r="L257" s="121">
        <f t="shared" ref="L257:M257" si="293">SUM(L222:L233,L236:L247)</f>
        <v>0</v>
      </c>
      <c r="M257" s="121">
        <f t="shared" si="293"/>
        <v>0</v>
      </c>
      <c r="N257" s="121">
        <f t="shared" ref="N257:P257" si="294">SUM(N222:N233,N236:N247)</f>
        <v>5.7538465988133698</v>
      </c>
      <c r="O257" s="121">
        <f t="shared" si="294"/>
        <v>5.3097024839345712</v>
      </c>
      <c r="P257" s="121">
        <f t="shared" si="294"/>
        <v>6.1842114491768658</v>
      </c>
      <c r="Q257" s="121">
        <f t="shared" ref="Q257" si="295">SUM(Q222:Q233,Q236:Q247)</f>
        <v>0</v>
      </c>
      <c r="R257" s="79"/>
      <c r="S257" s="79"/>
      <c r="T257" s="79"/>
      <c r="U257" s="79"/>
      <c r="V257" s="79"/>
      <c r="W257" s="79"/>
      <c r="X257" s="79"/>
      <c r="Y257" s="79"/>
      <c r="AA257" t="s">
        <v>711</v>
      </c>
    </row>
    <row r="258" spans="3:27" x14ac:dyDescent="0.25">
      <c r="C258" s="88"/>
      <c r="J258" s="89"/>
      <c r="K258" s="89"/>
      <c r="L258" s="89"/>
      <c r="M258" s="89"/>
      <c r="N258" s="89"/>
      <c r="O258" s="89"/>
      <c r="P258" s="89"/>
      <c r="Q258" s="89"/>
      <c r="R258" s="89"/>
      <c r="S258" s="89"/>
      <c r="T258" s="89"/>
      <c r="U258" s="89"/>
      <c r="V258" s="89"/>
      <c r="W258" s="89"/>
      <c r="X258" s="89"/>
      <c r="Y258" s="89"/>
    </row>
    <row r="259" spans="3:27" x14ac:dyDescent="0.25">
      <c r="C259" s="31" t="str">
        <f ca="1">INDEX('Version control'!$H$34:$H$57,MATCH($A$1,'Version control'!$F$34:$F$57,0),1)&amp;"-G: Capacity elements allocated to fixed charges"</f>
        <v>Section 113-G: Capacity elements allocated to fixed charges</v>
      </c>
      <c r="D259" s="31"/>
      <c r="E259" s="31"/>
      <c r="F259" s="31"/>
      <c r="G259" s="31"/>
      <c r="H259" s="31"/>
      <c r="I259" s="31"/>
      <c r="J259" s="90"/>
      <c r="K259" s="90"/>
      <c r="L259" s="90"/>
      <c r="M259" s="90"/>
      <c r="N259" s="90"/>
      <c r="O259" s="90"/>
      <c r="P259" s="90"/>
      <c r="Q259" s="90"/>
      <c r="R259" s="90"/>
      <c r="S259" s="90"/>
      <c r="T259" s="90"/>
      <c r="U259" s="90"/>
      <c r="V259" s="90"/>
      <c r="W259" s="90"/>
      <c r="X259" s="90"/>
      <c r="Y259" s="90"/>
      <c r="Z259" s="31"/>
      <c r="AA259" s="31"/>
    </row>
    <row r="260" spans="3:27" x14ac:dyDescent="0.25">
      <c r="D260" s="32"/>
      <c r="E260" s="32"/>
      <c r="I260" t="s">
        <v>154</v>
      </c>
      <c r="J260" s="89"/>
      <c r="K260" s="89"/>
      <c r="L260" s="89"/>
      <c r="M260" s="89"/>
      <c r="N260" s="89"/>
      <c r="O260" s="89"/>
      <c r="P260" s="89"/>
      <c r="Q260" s="89"/>
      <c r="R260" s="89"/>
      <c r="S260" s="89"/>
      <c r="T260" s="89"/>
      <c r="U260" s="89"/>
      <c r="V260" s="89"/>
      <c r="W260" s="89"/>
      <c r="X260" s="89"/>
      <c r="Y260" s="89"/>
      <c r="AA260" t="s">
        <v>713</v>
      </c>
    </row>
    <row r="261" spans="3:27" x14ac:dyDescent="0.25">
      <c r="C261" s="88"/>
      <c r="D261"/>
      <c r="E261" s="32" t="s">
        <v>621</v>
      </c>
      <c r="J261" s="89"/>
      <c r="K261" s="89"/>
      <c r="L261" s="89"/>
      <c r="M261" s="89"/>
      <c r="N261" s="89"/>
      <c r="O261" s="89"/>
      <c r="P261" s="89"/>
      <c r="Q261" s="89"/>
      <c r="R261" s="89"/>
      <c r="S261" s="89"/>
      <c r="T261" s="89"/>
      <c r="U261" s="89"/>
      <c r="V261" s="89"/>
      <c r="W261" s="89"/>
      <c r="X261" s="89"/>
      <c r="Y261" s="89"/>
    </row>
    <row r="262" spans="3:27" x14ac:dyDescent="0.25">
      <c r="C262" s="88"/>
      <c r="D262"/>
      <c r="F262" s="23" t="s">
        <v>189</v>
      </c>
      <c r="G262" s="23" t="s">
        <v>271</v>
      </c>
      <c r="H262" s="23"/>
      <c r="I262" s="23"/>
      <c r="J262" s="83"/>
      <c r="K262" s="83"/>
      <c r="L262" s="83"/>
      <c r="M262" s="83"/>
      <c r="N262" s="83"/>
      <c r="O262" s="83"/>
      <c r="P262" s="83"/>
      <c r="Q262" s="83"/>
      <c r="R262" s="83"/>
      <c r="S262" s="83"/>
      <c r="T262" s="83"/>
      <c r="U262" s="83"/>
      <c r="V262" s="83"/>
      <c r="W262" s="83"/>
      <c r="X262" s="83"/>
      <c r="Y262" s="83"/>
    </row>
    <row r="263" spans="3:27" x14ac:dyDescent="0.25">
      <c r="C263" s="88"/>
      <c r="D263"/>
      <c r="F263" t="s">
        <v>191</v>
      </c>
      <c r="G263" t="s">
        <v>271</v>
      </c>
      <c r="J263" s="79"/>
      <c r="K263" s="79"/>
      <c r="L263" s="79"/>
      <c r="M263" s="79"/>
      <c r="N263" s="79"/>
      <c r="O263" s="79"/>
      <c r="P263" s="79"/>
      <c r="Q263" s="79"/>
      <c r="R263" s="79"/>
      <c r="S263" s="79"/>
      <c r="T263" s="79"/>
      <c r="U263" s="79"/>
      <c r="V263" s="79"/>
      <c r="W263" s="79"/>
      <c r="X263" s="79"/>
      <c r="Y263" s="79"/>
    </row>
    <row r="264" spans="3:27" x14ac:dyDescent="0.25">
      <c r="C264" s="88"/>
      <c r="D264"/>
      <c r="F264" t="s">
        <v>192</v>
      </c>
      <c r="G264" t="s">
        <v>271</v>
      </c>
      <c r="J264" s="121">
        <f t="shared" ref="J264:K264" si="296">J$123 * J134</f>
        <v>0</v>
      </c>
      <c r="K264" s="121">
        <f t="shared" si="296"/>
        <v>0</v>
      </c>
      <c r="L264" s="121">
        <f t="shared" ref="L264:M264" si="297">L$123 * L134</f>
        <v>0</v>
      </c>
      <c r="M264" s="121">
        <f t="shared" si="297"/>
        <v>0</v>
      </c>
      <c r="N264" s="121">
        <f t="shared" ref="N264:P264" si="298">N$123 * N134</f>
        <v>0</v>
      </c>
      <c r="O264" s="121">
        <f t="shared" si="298"/>
        <v>0</v>
      </c>
      <c r="P264" s="121">
        <f t="shared" si="298"/>
        <v>0</v>
      </c>
      <c r="Q264" s="121">
        <f t="shared" ref="Q264" si="299">Q$123 * Q134</f>
        <v>0</v>
      </c>
      <c r="R264" s="79"/>
      <c r="S264" s="79"/>
      <c r="T264" s="79"/>
      <c r="U264" s="79"/>
      <c r="V264" s="79"/>
      <c r="W264" s="79"/>
      <c r="X264" s="79"/>
      <c r="Y264" s="79"/>
    </row>
    <row r="265" spans="3:27" x14ac:dyDescent="0.25">
      <c r="C265" s="88"/>
      <c r="D265"/>
      <c r="F265" t="s">
        <v>193</v>
      </c>
      <c r="G265" t="s">
        <v>271</v>
      </c>
      <c r="J265" s="121">
        <f t="shared" ref="J265:K265" si="300">J$123 * J135</f>
        <v>0</v>
      </c>
      <c r="K265" s="121">
        <f t="shared" si="300"/>
        <v>0</v>
      </c>
      <c r="L265" s="121">
        <f t="shared" ref="L265:M265" si="301">L$123 * L135</f>
        <v>0</v>
      </c>
      <c r="M265" s="121">
        <f t="shared" si="301"/>
        <v>0</v>
      </c>
      <c r="N265" s="121">
        <f t="shared" ref="N265:P265" si="302">N$123 * N135</f>
        <v>0</v>
      </c>
      <c r="O265" s="121">
        <f t="shared" si="302"/>
        <v>0</v>
      </c>
      <c r="P265" s="121">
        <f t="shared" si="302"/>
        <v>0</v>
      </c>
      <c r="Q265" s="121">
        <f t="shared" ref="Q265" si="303">Q$123 * Q135</f>
        <v>0</v>
      </c>
      <c r="R265" s="79"/>
      <c r="S265" s="79"/>
      <c r="T265" s="79"/>
      <c r="U265" s="79"/>
      <c r="V265" s="79"/>
      <c r="W265" s="79"/>
      <c r="X265" s="79"/>
      <c r="Y265" s="79"/>
    </row>
    <row r="266" spans="3:27" x14ac:dyDescent="0.25">
      <c r="C266" s="88"/>
      <c r="D266"/>
      <c r="F266" t="s">
        <v>194</v>
      </c>
      <c r="G266" t="s">
        <v>271</v>
      </c>
      <c r="J266" s="121">
        <f t="shared" ref="J266:K266" si="304">J$123 * J136</f>
        <v>0</v>
      </c>
      <c r="K266" s="121">
        <f t="shared" si="304"/>
        <v>0</v>
      </c>
      <c r="L266" s="121">
        <f t="shared" ref="L266:M266" si="305">L$123 * L136</f>
        <v>0</v>
      </c>
      <c r="M266" s="121">
        <f t="shared" si="305"/>
        <v>0</v>
      </c>
      <c r="N266" s="121">
        <f t="shared" ref="N266:P266" si="306">N$123 * N136</f>
        <v>0</v>
      </c>
      <c r="O266" s="121">
        <f t="shared" si="306"/>
        <v>0</v>
      </c>
      <c r="P266" s="121">
        <f t="shared" si="306"/>
        <v>0</v>
      </c>
      <c r="Q266" s="121">
        <f t="shared" ref="Q266" si="307">Q$123 * Q136</f>
        <v>0</v>
      </c>
      <c r="R266" s="79"/>
      <c r="S266" s="79"/>
      <c r="T266" s="79"/>
      <c r="U266" s="79"/>
      <c r="V266" s="79"/>
      <c r="W266" s="79"/>
      <c r="X266" s="79"/>
      <c r="Y266" s="79"/>
    </row>
    <row r="267" spans="3:27" x14ac:dyDescent="0.25">
      <c r="C267" s="88"/>
      <c r="D267"/>
      <c r="F267" t="s">
        <v>195</v>
      </c>
      <c r="G267" t="s">
        <v>271</v>
      </c>
      <c r="J267" s="121">
        <f t="shared" ref="J267:K267" si="308">J$123 * J137</f>
        <v>0</v>
      </c>
      <c r="K267" s="121">
        <f t="shared" si="308"/>
        <v>0</v>
      </c>
      <c r="L267" s="121">
        <f t="shared" ref="L267:M267" si="309">L$123 * L137</f>
        <v>0</v>
      </c>
      <c r="M267" s="121">
        <f t="shared" si="309"/>
        <v>0</v>
      </c>
      <c r="N267" s="121">
        <f t="shared" ref="N267:P267" si="310">N$123 * N137</f>
        <v>0</v>
      </c>
      <c r="O267" s="121">
        <f t="shared" si="310"/>
        <v>0</v>
      </c>
      <c r="P267" s="121">
        <f t="shared" si="310"/>
        <v>0</v>
      </c>
      <c r="Q267" s="121">
        <f t="shared" ref="Q267" si="311">Q$123 * Q137</f>
        <v>0</v>
      </c>
      <c r="R267" s="79"/>
      <c r="S267" s="79"/>
      <c r="T267" s="79"/>
      <c r="U267" s="79"/>
      <c r="V267" s="79"/>
      <c r="W267" s="79"/>
      <c r="X267" s="79"/>
      <c r="Y267" s="79"/>
    </row>
    <row r="268" spans="3:27" x14ac:dyDescent="0.25">
      <c r="C268" s="88"/>
      <c r="D268"/>
      <c r="F268" t="s">
        <v>196</v>
      </c>
      <c r="G268" t="s">
        <v>271</v>
      </c>
      <c r="J268" s="121">
        <f t="shared" ref="J268:K268" si="312">J$123 * J138</f>
        <v>0</v>
      </c>
      <c r="K268" s="121">
        <f t="shared" si="312"/>
        <v>0</v>
      </c>
      <c r="L268" s="121">
        <f t="shared" ref="L268:M268" si="313">L$123 * L138</f>
        <v>0</v>
      </c>
      <c r="M268" s="121">
        <f t="shared" si="313"/>
        <v>0</v>
      </c>
      <c r="N268" s="121">
        <f t="shared" ref="N268:P268" si="314">N$123 * N138</f>
        <v>0</v>
      </c>
      <c r="O268" s="121">
        <f t="shared" si="314"/>
        <v>0</v>
      </c>
      <c r="P268" s="121">
        <f t="shared" si="314"/>
        <v>0</v>
      </c>
      <c r="Q268" s="121">
        <f t="shared" ref="Q268" si="315">Q$123 * Q138</f>
        <v>0</v>
      </c>
      <c r="R268" s="79"/>
      <c r="S268" s="79"/>
      <c r="T268" s="79"/>
      <c r="U268" s="79"/>
      <c r="V268" s="79"/>
      <c r="W268" s="79"/>
      <c r="X268" s="79"/>
      <c r="Y268" s="79"/>
    </row>
    <row r="269" spans="3:27" x14ac:dyDescent="0.25">
      <c r="C269" s="88"/>
      <c r="D269"/>
      <c r="F269" t="s">
        <v>197</v>
      </c>
      <c r="G269" t="s">
        <v>271</v>
      </c>
      <c r="J269" s="121">
        <f t="shared" ref="J269:K269" si="316">J$123 * J139</f>
        <v>0</v>
      </c>
      <c r="K269" s="121">
        <f t="shared" si="316"/>
        <v>0</v>
      </c>
      <c r="L269" s="121">
        <f t="shared" ref="L269:M269" si="317">L$123 * L139</f>
        <v>0</v>
      </c>
      <c r="M269" s="121">
        <f t="shared" si="317"/>
        <v>0</v>
      </c>
      <c r="N269" s="121">
        <f t="shared" ref="N269:P269" si="318">N$123 * N139</f>
        <v>0</v>
      </c>
      <c r="O269" s="121">
        <f t="shared" si="318"/>
        <v>0</v>
      </c>
      <c r="P269" s="121">
        <f t="shared" si="318"/>
        <v>0</v>
      </c>
      <c r="Q269" s="121">
        <f t="shared" ref="Q269" si="319">Q$123 * Q139</f>
        <v>0</v>
      </c>
      <c r="R269" s="79"/>
      <c r="S269" s="79"/>
      <c r="T269" s="79"/>
      <c r="U269" s="79"/>
      <c r="V269" s="79"/>
      <c r="W269" s="79"/>
      <c r="X269" s="79"/>
      <c r="Y269" s="79"/>
    </row>
    <row r="270" spans="3:27" x14ac:dyDescent="0.25">
      <c r="C270" s="88"/>
      <c r="D270"/>
      <c r="F270" t="s">
        <v>198</v>
      </c>
      <c r="G270" t="s">
        <v>271</v>
      </c>
      <c r="J270" s="121">
        <f t="shared" ref="J270:K270" si="320">J$123 * J140</f>
        <v>0</v>
      </c>
      <c r="K270" s="121">
        <f t="shared" si="320"/>
        <v>0</v>
      </c>
      <c r="L270" s="121">
        <f t="shared" ref="L270:M270" si="321">L$123 * L140</f>
        <v>0</v>
      </c>
      <c r="M270" s="121">
        <f t="shared" si="321"/>
        <v>0</v>
      </c>
      <c r="N270" s="121">
        <f t="shared" ref="N270:P270" si="322">N$123 * N140</f>
        <v>0</v>
      </c>
      <c r="O270" s="121">
        <f t="shared" si="322"/>
        <v>0</v>
      </c>
      <c r="P270" s="121">
        <f t="shared" si="322"/>
        <v>0</v>
      </c>
      <c r="Q270" s="121">
        <f t="shared" ref="Q270" si="323">Q$123 * Q140</f>
        <v>0</v>
      </c>
      <c r="R270" s="79"/>
      <c r="S270" s="79"/>
      <c r="T270" s="79"/>
      <c r="U270" s="79"/>
      <c r="V270" s="79"/>
      <c r="W270" s="79"/>
      <c r="X270" s="79"/>
      <c r="Y270" s="79"/>
    </row>
    <row r="271" spans="3:27" x14ac:dyDescent="0.25">
      <c r="C271" s="88"/>
      <c r="D271"/>
      <c r="F271" t="s">
        <v>199</v>
      </c>
      <c r="G271" t="s">
        <v>271</v>
      </c>
      <c r="J271" s="121">
        <f t="shared" ref="J271:K271" si="324">J$123 * J141</f>
        <v>0.12322085469629813</v>
      </c>
      <c r="K271" s="121">
        <f t="shared" si="324"/>
        <v>0</v>
      </c>
      <c r="L271" s="121">
        <f t="shared" ref="L271:M271" si="325">L$123 * L141</f>
        <v>0.12322085469629813</v>
      </c>
      <c r="M271" s="121">
        <f t="shared" si="325"/>
        <v>0</v>
      </c>
      <c r="N271" s="121">
        <f t="shared" ref="N271:P271" si="326">N$123 * N141</f>
        <v>0</v>
      </c>
      <c r="O271" s="121">
        <f t="shared" si="326"/>
        <v>0</v>
      </c>
      <c r="P271" s="121">
        <f t="shared" si="326"/>
        <v>0</v>
      </c>
      <c r="Q271" s="121">
        <f t="shared" ref="Q271" si="327">Q$123 * Q141</f>
        <v>0</v>
      </c>
      <c r="R271" s="79"/>
      <c r="S271" s="79"/>
      <c r="T271" s="79"/>
      <c r="U271" s="79"/>
      <c r="V271" s="79"/>
      <c r="W271" s="79"/>
      <c r="X271" s="79"/>
      <c r="Y271" s="79"/>
    </row>
    <row r="272" spans="3:27" x14ac:dyDescent="0.25">
      <c r="C272" s="88"/>
      <c r="D272"/>
      <c r="F272" t="s">
        <v>376</v>
      </c>
      <c r="G272" t="s">
        <v>271</v>
      </c>
      <c r="J272" s="79"/>
      <c r="K272" s="79"/>
      <c r="L272" s="79"/>
      <c r="M272" s="79"/>
      <c r="N272" s="79"/>
      <c r="O272" s="79"/>
      <c r="P272" s="79"/>
      <c r="Q272" s="79"/>
      <c r="R272" s="79"/>
      <c r="S272" s="79"/>
      <c r="T272" s="79"/>
      <c r="U272" s="79"/>
      <c r="V272" s="79"/>
      <c r="W272" s="79"/>
      <c r="X272" s="79"/>
      <c r="Y272" s="79"/>
    </row>
    <row r="273" spans="3:25" x14ac:dyDescent="0.25">
      <c r="C273" s="88"/>
      <c r="D273"/>
      <c r="F273" s="37" t="s">
        <v>377</v>
      </c>
      <c r="G273" s="37" t="s">
        <v>271</v>
      </c>
      <c r="H273" s="37"/>
      <c r="I273" s="37"/>
      <c r="J273" s="81"/>
      <c r="K273" s="81"/>
      <c r="L273" s="81"/>
      <c r="M273" s="81"/>
      <c r="N273" s="81"/>
      <c r="O273" s="81"/>
      <c r="P273" s="81"/>
      <c r="Q273" s="81"/>
      <c r="R273" s="81"/>
      <c r="S273" s="81"/>
      <c r="T273" s="81"/>
      <c r="U273" s="81"/>
      <c r="V273" s="81"/>
      <c r="W273" s="81"/>
      <c r="X273" s="81"/>
      <c r="Y273" s="81"/>
    </row>
    <row r="274" spans="3:25" x14ac:dyDescent="0.25">
      <c r="C274" s="88"/>
      <c r="D274"/>
      <c r="J274" s="89"/>
      <c r="K274" s="89"/>
      <c r="L274" s="89"/>
      <c r="M274" s="89"/>
      <c r="N274" s="89"/>
      <c r="O274" s="89"/>
      <c r="P274" s="89"/>
      <c r="Q274" s="89"/>
      <c r="R274" s="89"/>
      <c r="S274" s="89"/>
      <c r="T274" s="89"/>
      <c r="U274" s="89"/>
      <c r="V274" s="89"/>
      <c r="W274" s="89"/>
      <c r="X274" s="89"/>
      <c r="Y274" s="89"/>
    </row>
    <row r="275" spans="3:25" x14ac:dyDescent="0.25">
      <c r="C275" s="88"/>
      <c r="D275"/>
      <c r="E275" s="32" t="s">
        <v>714</v>
      </c>
      <c r="J275" s="89"/>
      <c r="K275" s="89"/>
      <c r="L275" s="89"/>
      <c r="M275" s="89"/>
      <c r="N275" s="89"/>
      <c r="O275" s="89"/>
      <c r="P275" s="89"/>
      <c r="Q275" s="89"/>
      <c r="R275" s="89"/>
      <c r="S275" s="89"/>
      <c r="T275" s="89"/>
      <c r="U275" s="89"/>
      <c r="V275" s="89"/>
      <c r="W275" s="89"/>
      <c r="X275" s="89"/>
      <c r="Y275" s="89"/>
    </row>
    <row r="276" spans="3:25" x14ac:dyDescent="0.25">
      <c r="C276" s="88"/>
      <c r="D276"/>
      <c r="F276" s="23" t="s">
        <v>189</v>
      </c>
      <c r="G276" s="23" t="s">
        <v>271</v>
      </c>
      <c r="H276" s="23"/>
      <c r="I276" s="23"/>
      <c r="J276" s="101">
        <f t="shared" ref="J276:K276" si="328">J$123 * J146</f>
        <v>0</v>
      </c>
      <c r="K276" s="101">
        <f t="shared" si="328"/>
        <v>0</v>
      </c>
      <c r="L276" s="101">
        <f t="shared" ref="L276:M276" si="329">L$123 * L146</f>
        <v>0</v>
      </c>
      <c r="M276" s="101">
        <f t="shared" si="329"/>
        <v>0</v>
      </c>
      <c r="N276" s="101">
        <f t="shared" ref="N276:P276" si="330">N$123 * N146</f>
        <v>0</v>
      </c>
      <c r="O276" s="101">
        <f t="shared" si="330"/>
        <v>0</v>
      </c>
      <c r="P276" s="101">
        <f t="shared" si="330"/>
        <v>0</v>
      </c>
      <c r="Q276" s="101">
        <f t="shared" ref="Q276" si="331">Q$123 * Q146</f>
        <v>0</v>
      </c>
      <c r="R276" s="83"/>
      <c r="S276" s="83"/>
      <c r="T276" s="83"/>
      <c r="U276" s="83"/>
      <c r="V276" s="83"/>
      <c r="W276" s="83"/>
      <c r="X276" s="83"/>
      <c r="Y276" s="83"/>
    </row>
    <row r="277" spans="3:25" x14ac:dyDescent="0.25">
      <c r="C277" s="88"/>
      <c r="D277"/>
      <c r="F277" t="s">
        <v>191</v>
      </c>
      <c r="G277" t="s">
        <v>271</v>
      </c>
      <c r="J277" s="121">
        <f t="shared" ref="J277:K277" si="332">J$123 * J147</f>
        <v>0</v>
      </c>
      <c r="K277" s="121">
        <f t="shared" si="332"/>
        <v>0</v>
      </c>
      <c r="L277" s="121">
        <f t="shared" ref="L277:M277" si="333">L$123 * L147</f>
        <v>0</v>
      </c>
      <c r="M277" s="121">
        <f t="shared" si="333"/>
        <v>0</v>
      </c>
      <c r="N277" s="121">
        <f t="shared" ref="N277:P277" si="334">N$123 * N147</f>
        <v>0</v>
      </c>
      <c r="O277" s="121">
        <f t="shared" si="334"/>
        <v>0</v>
      </c>
      <c r="P277" s="121">
        <f t="shared" si="334"/>
        <v>0</v>
      </c>
      <c r="Q277" s="121">
        <f t="shared" ref="Q277" si="335">Q$123 * Q147</f>
        <v>0</v>
      </c>
      <c r="R277" s="79"/>
      <c r="S277" s="79"/>
      <c r="T277" s="79"/>
      <c r="U277" s="79"/>
      <c r="V277" s="79"/>
      <c r="W277" s="79"/>
      <c r="X277" s="79"/>
      <c r="Y277" s="79"/>
    </row>
    <row r="278" spans="3:25" x14ac:dyDescent="0.25">
      <c r="C278" s="88"/>
      <c r="D278"/>
      <c r="F278" t="s">
        <v>192</v>
      </c>
      <c r="G278" t="s">
        <v>271</v>
      </c>
      <c r="J278" s="121">
        <f t="shared" ref="J278:K278" si="336">J$123 * J148</f>
        <v>0</v>
      </c>
      <c r="K278" s="121">
        <f t="shared" si="336"/>
        <v>0</v>
      </c>
      <c r="L278" s="121">
        <f t="shared" ref="L278:M278" si="337">L$123 * L148</f>
        <v>0</v>
      </c>
      <c r="M278" s="121">
        <f t="shared" si="337"/>
        <v>0</v>
      </c>
      <c r="N278" s="121">
        <f t="shared" ref="N278:P278" si="338">N$123 * N148</f>
        <v>0</v>
      </c>
      <c r="O278" s="121">
        <f t="shared" si="338"/>
        <v>0</v>
      </c>
      <c r="P278" s="121">
        <f t="shared" si="338"/>
        <v>0</v>
      </c>
      <c r="Q278" s="121">
        <f t="shared" ref="Q278" si="339">Q$123 * Q148</f>
        <v>0</v>
      </c>
      <c r="R278" s="79"/>
      <c r="S278" s="79"/>
      <c r="T278" s="79"/>
      <c r="U278" s="79"/>
      <c r="V278" s="79"/>
      <c r="W278" s="79"/>
      <c r="X278" s="79"/>
      <c r="Y278" s="79"/>
    </row>
    <row r="279" spans="3:25" x14ac:dyDescent="0.25">
      <c r="C279" s="88"/>
      <c r="D279"/>
      <c r="F279" t="s">
        <v>193</v>
      </c>
      <c r="G279" t="s">
        <v>271</v>
      </c>
      <c r="J279" s="121">
        <f t="shared" ref="J279:K279" si="340">J$123 * J149</f>
        <v>0</v>
      </c>
      <c r="K279" s="121">
        <f t="shared" si="340"/>
        <v>0</v>
      </c>
      <c r="L279" s="121">
        <f t="shared" ref="L279:M279" si="341">L$123 * L149</f>
        <v>0</v>
      </c>
      <c r="M279" s="121">
        <f t="shared" si="341"/>
        <v>0</v>
      </c>
      <c r="N279" s="121">
        <f t="shared" ref="N279:P279" si="342">N$123 * N149</f>
        <v>0</v>
      </c>
      <c r="O279" s="121">
        <f t="shared" si="342"/>
        <v>0</v>
      </c>
      <c r="P279" s="121">
        <f t="shared" si="342"/>
        <v>0</v>
      </c>
      <c r="Q279" s="121">
        <f t="shared" ref="Q279" si="343">Q$123 * Q149</f>
        <v>0</v>
      </c>
      <c r="R279" s="79"/>
      <c r="S279" s="79"/>
      <c r="T279" s="79"/>
      <c r="U279" s="79"/>
      <c r="V279" s="79"/>
      <c r="W279" s="79"/>
      <c r="X279" s="79"/>
      <c r="Y279" s="79"/>
    </row>
    <row r="280" spans="3:25" x14ac:dyDescent="0.25">
      <c r="C280" s="88"/>
      <c r="D280"/>
      <c r="F280" t="s">
        <v>194</v>
      </c>
      <c r="G280" t="s">
        <v>271</v>
      </c>
      <c r="J280" s="121">
        <f t="shared" ref="J280:K280" si="344">J$123 * J150</f>
        <v>0</v>
      </c>
      <c r="K280" s="121">
        <f t="shared" si="344"/>
        <v>0</v>
      </c>
      <c r="L280" s="121">
        <f t="shared" ref="L280:M280" si="345">L$123 * L150</f>
        <v>0</v>
      </c>
      <c r="M280" s="121">
        <f t="shared" si="345"/>
        <v>0</v>
      </c>
      <c r="N280" s="121">
        <f t="shared" ref="N280:P280" si="346">N$123 * N150</f>
        <v>0</v>
      </c>
      <c r="O280" s="121">
        <f t="shared" si="346"/>
        <v>0</v>
      </c>
      <c r="P280" s="121">
        <f t="shared" si="346"/>
        <v>0</v>
      </c>
      <c r="Q280" s="121">
        <f t="shared" ref="Q280" si="347">Q$123 * Q150</f>
        <v>0</v>
      </c>
      <c r="R280" s="79"/>
      <c r="S280" s="79"/>
      <c r="T280" s="79"/>
      <c r="U280" s="79"/>
      <c r="V280" s="79"/>
      <c r="W280" s="79"/>
      <c r="X280" s="79"/>
      <c r="Y280" s="79"/>
    </row>
    <row r="281" spans="3:25" x14ac:dyDescent="0.25">
      <c r="C281" s="88"/>
      <c r="D281"/>
      <c r="F281" t="s">
        <v>195</v>
      </c>
      <c r="G281" t="s">
        <v>271</v>
      </c>
      <c r="J281" s="121">
        <f t="shared" ref="J281:K281" si="348">J$123 * J151</f>
        <v>0</v>
      </c>
      <c r="K281" s="121">
        <f t="shared" si="348"/>
        <v>0</v>
      </c>
      <c r="L281" s="121">
        <f t="shared" ref="L281:M281" si="349">L$123 * L151</f>
        <v>0</v>
      </c>
      <c r="M281" s="121">
        <f t="shared" si="349"/>
        <v>0</v>
      </c>
      <c r="N281" s="121">
        <f t="shared" ref="N281:P281" si="350">N$123 * N151</f>
        <v>0</v>
      </c>
      <c r="O281" s="121">
        <f t="shared" si="350"/>
        <v>0</v>
      </c>
      <c r="P281" s="121">
        <f t="shared" si="350"/>
        <v>0</v>
      </c>
      <c r="Q281" s="121">
        <f t="shared" ref="Q281" si="351">Q$123 * Q151</f>
        <v>0</v>
      </c>
      <c r="R281" s="79"/>
      <c r="S281" s="79"/>
      <c r="T281" s="79"/>
      <c r="U281" s="79"/>
      <c r="V281" s="79"/>
      <c r="W281" s="79"/>
      <c r="X281" s="79"/>
      <c r="Y281" s="79"/>
    </row>
    <row r="282" spans="3:25" x14ac:dyDescent="0.25">
      <c r="C282" s="88"/>
      <c r="D282"/>
      <c r="F282" t="s">
        <v>196</v>
      </c>
      <c r="G282" t="s">
        <v>271</v>
      </c>
      <c r="J282" s="121">
        <f t="shared" ref="J282:K282" si="352">J$123 * J152</f>
        <v>0</v>
      </c>
      <c r="K282" s="121">
        <f t="shared" si="352"/>
        <v>0</v>
      </c>
      <c r="L282" s="121">
        <f t="shared" ref="L282:M282" si="353">L$123 * L152</f>
        <v>0</v>
      </c>
      <c r="M282" s="121">
        <f t="shared" si="353"/>
        <v>0</v>
      </c>
      <c r="N282" s="121">
        <f t="shared" ref="N282:P282" si="354">N$123 * N152</f>
        <v>0</v>
      </c>
      <c r="O282" s="121">
        <f t="shared" si="354"/>
        <v>0</v>
      </c>
      <c r="P282" s="121">
        <f t="shared" si="354"/>
        <v>0</v>
      </c>
      <c r="Q282" s="121">
        <f t="shared" ref="Q282" si="355">Q$123 * Q152</f>
        <v>0</v>
      </c>
      <c r="R282" s="79"/>
      <c r="S282" s="79"/>
      <c r="T282" s="79"/>
      <c r="U282" s="79"/>
      <c r="V282" s="79"/>
      <c r="W282" s="79"/>
      <c r="X282" s="79"/>
      <c r="Y282" s="79"/>
    </row>
    <row r="283" spans="3:25" x14ac:dyDescent="0.25">
      <c r="C283" s="88"/>
      <c r="D283"/>
      <c r="F283" t="s">
        <v>197</v>
      </c>
      <c r="G283" t="s">
        <v>271</v>
      </c>
      <c r="J283" s="121">
        <f t="shared" ref="J283:K283" si="356">J$123 * J153</f>
        <v>0</v>
      </c>
      <c r="K283" s="121">
        <f t="shared" si="356"/>
        <v>0</v>
      </c>
      <c r="L283" s="121">
        <f t="shared" ref="L283:M283" si="357">L$123 * L153</f>
        <v>0</v>
      </c>
      <c r="M283" s="121">
        <f t="shared" si="357"/>
        <v>0</v>
      </c>
      <c r="N283" s="121">
        <f t="shared" ref="N283:P283" si="358">N$123 * N153</f>
        <v>0</v>
      </c>
      <c r="O283" s="121">
        <f t="shared" si="358"/>
        <v>0</v>
      </c>
      <c r="P283" s="121">
        <f t="shared" si="358"/>
        <v>0</v>
      </c>
      <c r="Q283" s="121">
        <f t="shared" ref="Q283" si="359">Q$123 * Q153</f>
        <v>0</v>
      </c>
      <c r="R283" s="79"/>
      <c r="S283" s="79"/>
      <c r="T283" s="79"/>
      <c r="U283" s="79"/>
      <c r="V283" s="79"/>
      <c r="W283" s="79"/>
      <c r="X283" s="79"/>
      <c r="Y283" s="79"/>
    </row>
    <row r="284" spans="3:25" x14ac:dyDescent="0.25">
      <c r="C284" s="88"/>
      <c r="D284"/>
      <c r="F284" t="s">
        <v>198</v>
      </c>
      <c r="G284" t="s">
        <v>271</v>
      </c>
      <c r="J284" s="121">
        <f t="shared" ref="J284:K284" si="360">J$123 * J154</f>
        <v>0</v>
      </c>
      <c r="K284" s="121">
        <f t="shared" si="360"/>
        <v>0</v>
      </c>
      <c r="L284" s="121">
        <f t="shared" ref="L284:M284" si="361">L$123 * L154</f>
        <v>0</v>
      </c>
      <c r="M284" s="121">
        <f t="shared" si="361"/>
        <v>0</v>
      </c>
      <c r="N284" s="121">
        <f t="shared" ref="N284:P284" si="362">N$123 * N154</f>
        <v>0</v>
      </c>
      <c r="O284" s="121">
        <f t="shared" si="362"/>
        <v>0</v>
      </c>
      <c r="P284" s="121">
        <f t="shared" si="362"/>
        <v>0</v>
      </c>
      <c r="Q284" s="121">
        <f t="shared" ref="Q284" si="363">Q$123 * Q154</f>
        <v>0</v>
      </c>
      <c r="R284" s="79"/>
      <c r="S284" s="79"/>
      <c r="T284" s="79"/>
      <c r="U284" s="79"/>
      <c r="V284" s="79"/>
      <c r="W284" s="79"/>
      <c r="X284" s="79"/>
      <c r="Y284" s="79"/>
    </row>
    <row r="285" spans="3:25" x14ac:dyDescent="0.25">
      <c r="C285" s="88"/>
      <c r="D285"/>
      <c r="F285" t="s">
        <v>199</v>
      </c>
      <c r="G285" t="s">
        <v>271</v>
      </c>
      <c r="J285" s="121">
        <f t="shared" ref="J285:K285" si="364">J$123 * J155</f>
        <v>1.2765279769276361</v>
      </c>
      <c r="K285" s="121">
        <f t="shared" si="364"/>
        <v>0</v>
      </c>
      <c r="L285" s="121">
        <f t="shared" ref="L285:M285" si="365">L$123 * L155</f>
        <v>1.2765279769276361</v>
      </c>
      <c r="M285" s="121">
        <f t="shared" si="365"/>
        <v>0</v>
      </c>
      <c r="N285" s="121">
        <f t="shared" ref="N285:P285" si="366">N$123 * N155</f>
        <v>0</v>
      </c>
      <c r="O285" s="121">
        <f t="shared" si="366"/>
        <v>0</v>
      </c>
      <c r="P285" s="121">
        <f t="shared" si="366"/>
        <v>0</v>
      </c>
      <c r="Q285" s="121">
        <f t="shared" ref="Q285" si="367">Q$123 * Q155</f>
        <v>0</v>
      </c>
      <c r="R285" s="79"/>
      <c r="S285" s="79"/>
      <c r="T285" s="79"/>
      <c r="U285" s="79"/>
      <c r="V285" s="79"/>
      <c r="W285" s="79"/>
      <c r="X285" s="79"/>
      <c r="Y285" s="79"/>
    </row>
    <row r="286" spans="3:25" x14ac:dyDescent="0.25">
      <c r="C286" s="88"/>
      <c r="D286"/>
      <c r="F286" t="s">
        <v>376</v>
      </c>
      <c r="G286" t="s">
        <v>271</v>
      </c>
      <c r="J286" s="79"/>
      <c r="K286" s="79"/>
      <c r="L286" s="79"/>
      <c r="M286" s="79"/>
      <c r="N286" s="79"/>
      <c r="O286" s="79"/>
      <c r="P286" s="79"/>
      <c r="Q286" s="79"/>
      <c r="R286" s="79"/>
      <c r="S286" s="79"/>
      <c r="T286" s="79"/>
      <c r="U286" s="79"/>
      <c r="V286" s="79"/>
      <c r="W286" s="79"/>
      <c r="X286" s="79"/>
      <c r="Y286" s="79"/>
    </row>
    <row r="287" spans="3:25" x14ac:dyDescent="0.25">
      <c r="C287" s="88"/>
      <c r="D287"/>
      <c r="F287" s="37" t="s">
        <v>377</v>
      </c>
      <c r="G287" s="37" t="s">
        <v>271</v>
      </c>
      <c r="H287" s="37"/>
      <c r="I287" s="37"/>
      <c r="J287" s="81"/>
      <c r="K287" s="81"/>
      <c r="L287" s="81"/>
      <c r="M287" s="81"/>
      <c r="N287" s="81"/>
      <c r="O287" s="81"/>
      <c r="P287" s="81"/>
      <c r="Q287" s="81"/>
      <c r="R287" s="81"/>
      <c r="S287" s="81"/>
      <c r="T287" s="81"/>
      <c r="U287" s="81"/>
      <c r="V287" s="81"/>
      <c r="W287" s="81"/>
      <c r="X287" s="81"/>
      <c r="Y287" s="81"/>
    </row>
    <row r="288" spans="3:25" x14ac:dyDescent="0.25">
      <c r="C288" s="88"/>
    </row>
    <row r="289" spans="2:27" x14ac:dyDescent="0.25">
      <c r="B289" s="30" t="s">
        <v>231</v>
      </c>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row>
    <row r="291" spans="2:27" x14ac:dyDescent="0.25">
      <c r="C291" s="88"/>
      <c r="E291" t="s">
        <v>232</v>
      </c>
      <c r="G291" s="6" t="s">
        <v>55</v>
      </c>
      <c r="H291" s="187">
        <f t="array" ref="H291">SUM(IF(ISERROR(H51:Y287), 1))</f>
        <v>0</v>
      </c>
    </row>
    <row r="293" spans="2:27" x14ac:dyDescent="0.25">
      <c r="E293" t="s">
        <v>715</v>
      </c>
      <c r="G293" s="6" t="s">
        <v>55</v>
      </c>
      <c r="H293" s="187">
        <f>SUM(J293:Y293)</f>
        <v>0</v>
      </c>
      <c r="J293" s="187">
        <f t="shared" ref="J293:K293" si="368">IF(J121 + J123 &lt; 2, 0, 1)</f>
        <v>0</v>
      </c>
      <c r="K293" s="187">
        <f t="shared" si="368"/>
        <v>0</v>
      </c>
      <c r="L293" s="187">
        <f t="shared" ref="L293:M293" si="369">IF(L121 + L123 &lt; 2, 0, 1)</f>
        <v>0</v>
      </c>
      <c r="M293" s="187">
        <f t="shared" si="369"/>
        <v>0</v>
      </c>
      <c r="N293" s="187">
        <f t="shared" ref="N293:P293" si="370">IF(N121 + N123 &lt; 2, 0, 1)</f>
        <v>0</v>
      </c>
      <c r="O293" s="187">
        <f t="shared" si="370"/>
        <v>0</v>
      </c>
      <c r="P293" s="187">
        <f t="shared" si="370"/>
        <v>0</v>
      </c>
      <c r="Q293" s="187">
        <f t="shared" ref="Q293:S293" si="371">IF(Q121 + Q123 &lt; 2, 0, 1)</f>
        <v>0</v>
      </c>
      <c r="R293" s="187">
        <f t="shared" si="371"/>
        <v>0</v>
      </c>
      <c r="S293" s="187">
        <f t="shared" si="371"/>
        <v>0</v>
      </c>
      <c r="T293" s="187">
        <f t="shared" ref="T293:U293" si="372">IF(T121 + T123 &lt; 2, 0, 1)</f>
        <v>0</v>
      </c>
      <c r="U293" s="187">
        <f t="shared" si="372"/>
        <v>0</v>
      </c>
      <c r="V293" s="187">
        <f t="shared" ref="V293:W293" si="373">IF(V121 + V123 &lt; 2, 0, 1)</f>
        <v>0</v>
      </c>
      <c r="W293" s="187">
        <f t="shared" si="373"/>
        <v>0</v>
      </c>
      <c r="X293" s="187">
        <f t="shared" ref="X293:Y293" si="374">IF(X121 + X123 &lt; 2, 0, 1)</f>
        <v>0</v>
      </c>
      <c r="Y293" s="187">
        <f t="shared" si="374"/>
        <v>0</v>
      </c>
    </row>
    <row r="295" spans="2:27" x14ac:dyDescent="0.25">
      <c r="C295" s="88"/>
      <c r="E295" t="s">
        <v>239</v>
      </c>
      <c r="G295" s="6" t="s">
        <v>55</v>
      </c>
      <c r="H295" s="26">
        <f>H291 + H293</f>
        <v>0</v>
      </c>
    </row>
    <row r="297" spans="2:27" x14ac:dyDescent="0.25">
      <c r="B297" s="30" t="s">
        <v>106</v>
      </c>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row>
  </sheetData>
  <sheetProtection sheet="1" objects="1" formatCells="0" formatColumns="0" formatRows="0" sort="0" autoFilter="0"/>
  <conditionalFormatting sqref="H291">
    <cfRule type="cellIs" dxfId="69" priority="21" operator="greaterThan">
      <formula>0</formula>
    </cfRule>
  </conditionalFormatting>
  <conditionalFormatting sqref="H293">
    <cfRule type="cellIs" dxfId="68" priority="20" operator="greaterThan">
      <formula>0</formula>
    </cfRule>
  </conditionalFormatting>
  <conditionalFormatting sqref="H295">
    <cfRule type="cellIs" dxfId="67" priority="18" operator="greaterThan">
      <formula>0</formula>
    </cfRule>
  </conditionalFormatting>
  <conditionalFormatting sqref="A4:I4 Z4:XFD4">
    <cfRule type="expression" dxfId="66" priority="17">
      <formula>LEFT($A$4,1) &lt;&gt; "0"</formula>
    </cfRule>
  </conditionalFormatting>
  <conditionalFormatting sqref="N293:P293">
    <cfRule type="cellIs" dxfId="65" priority="16" operator="greaterThan">
      <formula>0</formula>
    </cfRule>
  </conditionalFormatting>
  <conditionalFormatting sqref="N4:P4">
    <cfRule type="expression" dxfId="64" priority="15">
      <formula>LEFT($A$4,1) &lt;&gt; "0"</formula>
    </cfRule>
  </conditionalFormatting>
  <conditionalFormatting sqref="L293:M293">
    <cfRule type="cellIs" dxfId="63" priority="14" operator="greaterThan">
      <formula>0</formula>
    </cfRule>
  </conditionalFormatting>
  <conditionalFormatting sqref="L4:M4">
    <cfRule type="expression" dxfId="62" priority="13">
      <formula>LEFT($A$4,1) &lt;&gt; "0"</formula>
    </cfRule>
  </conditionalFormatting>
  <conditionalFormatting sqref="J293:K293">
    <cfRule type="cellIs" dxfId="61" priority="12" operator="greaterThan">
      <formula>0</formula>
    </cfRule>
  </conditionalFormatting>
  <conditionalFormatting sqref="J4:K4">
    <cfRule type="expression" dxfId="60" priority="11">
      <formula>LEFT($A$4,1) &lt;&gt; "0"</formula>
    </cfRule>
  </conditionalFormatting>
  <conditionalFormatting sqref="Q293">
    <cfRule type="cellIs" dxfId="59" priority="10" operator="greaterThan">
      <formula>0</formula>
    </cfRule>
  </conditionalFormatting>
  <conditionalFormatting sqref="Q4">
    <cfRule type="expression" dxfId="58" priority="9">
      <formula>LEFT($A$4,1) &lt;&gt; "0"</formula>
    </cfRule>
  </conditionalFormatting>
  <conditionalFormatting sqref="R293:S293">
    <cfRule type="cellIs" dxfId="57" priority="8" operator="greaterThan">
      <formula>0</formula>
    </cfRule>
  </conditionalFormatting>
  <conditionalFormatting sqref="R4:S4">
    <cfRule type="expression" dxfId="56" priority="7">
      <formula>LEFT($A$4,1) &lt;&gt; "0"</formula>
    </cfRule>
  </conditionalFormatting>
  <conditionalFormatting sqref="T293:U293">
    <cfRule type="cellIs" dxfId="55" priority="6" operator="greaterThan">
      <formula>0</formula>
    </cfRule>
  </conditionalFormatting>
  <conditionalFormatting sqref="T4:U4">
    <cfRule type="expression" dxfId="54" priority="5">
      <formula>LEFT($A$4,1) &lt;&gt; "0"</formula>
    </cfRule>
  </conditionalFormatting>
  <conditionalFormatting sqref="V293:W293">
    <cfRule type="cellIs" dxfId="53" priority="4" operator="greaterThan">
      <formula>0</formula>
    </cfRule>
  </conditionalFormatting>
  <conditionalFormatting sqref="V4:W4">
    <cfRule type="expression" dxfId="52" priority="3">
      <formula>LEFT($A$4,1) &lt;&gt; "0"</formula>
    </cfRule>
  </conditionalFormatting>
  <conditionalFormatting sqref="X293:Y293">
    <cfRule type="cellIs" dxfId="51" priority="2" operator="greaterThan">
      <formula>0</formula>
    </cfRule>
  </conditionalFormatting>
  <conditionalFormatting sqref="X4:Y4">
    <cfRule type="expression" dxfId="5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KZ16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2" width="24.5703125" hidden="1" customWidth="1"/>
    <col min="313" max="16384" width="8.5703125" hidden="1"/>
  </cols>
  <sheetData>
    <row r="1" spans="1:27" s="1" customFormat="1" x14ac:dyDescent="0.25">
      <c r="A1" s="1" t="str">
        <f ca="1">MID(CELL("filename",A1),FIND("]",CELL("filename",A1))+1,255)</f>
        <v>Fixed charges</v>
      </c>
    </row>
    <row r="2" spans="1:27" s="1" customFormat="1" x14ac:dyDescent="0.25">
      <c r="A2" s="1" t="str">
        <f>Cover!D21&amp;" - "&amp;Cover!D23</f>
        <v>WPD East Midlands - April 21 Prices</v>
      </c>
    </row>
    <row r="3" spans="1:27" s="5" customFormat="1" x14ac:dyDescent="0.25">
      <c r="A3" s="5" t="str">
        <f>Cover!D2&amp;" - "&amp;Cover!D8&amp;" v"&amp;Cover!D10&amp;" - "&amp;Cover!D19</f>
        <v>CDCM charging model - Release for charge setting v5 - 2021/22</v>
      </c>
    </row>
    <row r="4" spans="1:27" x14ac:dyDescent="0.25">
      <c r="A4" s="12" t="str">
        <f>H165 &amp; IF(H165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D9" s="29" t="s">
        <v>716</v>
      </c>
      <c r="E9"/>
    </row>
    <row r="10" spans="1:27" x14ac:dyDescent="0.25">
      <c r="D10" s="91" t="s">
        <v>717</v>
      </c>
      <c r="E10"/>
    </row>
    <row r="11" spans="1:27" x14ac:dyDescent="0.25">
      <c r="D11" s="29" t="s">
        <v>718</v>
      </c>
      <c r="E11"/>
    </row>
    <row r="12" spans="1:27" x14ac:dyDescent="0.25">
      <c r="D12" s="91" t="s">
        <v>719</v>
      </c>
      <c r="E12"/>
    </row>
    <row r="14" spans="1:27" x14ac:dyDescent="0.25">
      <c r="B14" s="30" t="s">
        <v>720</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row>
    <row r="16" spans="1:27" x14ac:dyDescent="0.25">
      <c r="C16" s="31" t="str">
        <f ca="1">INDEX('Version control'!$H$34:$H$57,MATCH($A$1,'Version control'!$F$34:$F$57,0),1)&amp;"-A: Volumes (discounted MPANs &amp; maximum load)"</f>
        <v>Section 114-A: Volumes (discounted MPANs &amp; maximum load)</v>
      </c>
      <c r="D16" s="31"/>
      <c r="E16" s="31"/>
      <c r="F16" s="31"/>
      <c r="G16" s="31"/>
      <c r="H16" s="31"/>
      <c r="I16" s="31"/>
      <c r="J16" s="31"/>
      <c r="K16" s="31"/>
      <c r="L16" s="31"/>
      <c r="M16" s="31"/>
      <c r="N16" s="31"/>
      <c r="O16" s="31"/>
      <c r="P16" s="31"/>
      <c r="Q16" s="31"/>
      <c r="R16" s="31"/>
      <c r="S16" s="31"/>
      <c r="T16" s="31"/>
      <c r="U16" s="31"/>
      <c r="V16" s="31"/>
      <c r="W16" s="31"/>
      <c r="X16" s="31"/>
      <c r="Y16" s="31"/>
      <c r="Z16" s="31"/>
      <c r="AA16" s="31"/>
    </row>
    <row r="17" spans="3:27" x14ac:dyDescent="0.25">
      <c r="D17"/>
      <c r="E17" s="32"/>
      <c r="I17" t="s">
        <v>154</v>
      </c>
      <c r="AA17" t="s">
        <v>721</v>
      </c>
    </row>
    <row r="18" spans="3:27" x14ac:dyDescent="0.25">
      <c r="C18" s="88"/>
      <c r="E18" t="s">
        <v>549</v>
      </c>
      <c r="G18" t="s">
        <v>212</v>
      </c>
      <c r="J18" s="120">
        <f>'Volume adjustments'!J103</f>
        <v>2550470.1642928589</v>
      </c>
      <c r="K18" s="120">
        <f>'Volume adjustments'!K103</f>
        <v>0</v>
      </c>
      <c r="L18" s="120">
        <f>'Volume adjustments'!L103</f>
        <v>187147.43160675137</v>
      </c>
      <c r="M18" s="120">
        <f>'Volume adjustments'!M103</f>
        <v>0</v>
      </c>
      <c r="N18" s="120">
        <f>'Volume adjustments'!N103</f>
        <v>15647.701878098003</v>
      </c>
      <c r="O18" s="120">
        <f>'Volume adjustments'!O103</f>
        <v>480.9458034931813</v>
      </c>
      <c r="P18" s="120">
        <f>'Volume adjustments'!P103</f>
        <v>3395.8469925859049</v>
      </c>
      <c r="Q18" s="120">
        <f>'Volume adjustments'!Q103</f>
        <v>31.606325583497927</v>
      </c>
      <c r="R18" s="120">
        <f>'Volume adjustments'!R103</f>
        <v>0</v>
      </c>
      <c r="S18" s="120">
        <f>'Volume adjustments'!S103</f>
        <v>0</v>
      </c>
      <c r="T18" s="120">
        <f>'Volume adjustments'!T103</f>
        <v>737.24112185551337</v>
      </c>
      <c r="U18" s="120">
        <f>'Volume adjustments'!U103</f>
        <v>0</v>
      </c>
      <c r="V18" s="120">
        <f>'Volume adjustments'!V103</f>
        <v>52.799295590310457</v>
      </c>
      <c r="W18" s="120">
        <f>'Volume adjustments'!W103</f>
        <v>0</v>
      </c>
      <c r="X18" s="120">
        <f>'Volume adjustments'!X103</f>
        <v>465.20466013888074</v>
      </c>
      <c r="Y18" s="120">
        <f>'Volume adjustments'!Y103</f>
        <v>0</v>
      </c>
    </row>
    <row r="19" spans="3:27" x14ac:dyDescent="0.25">
      <c r="C19" s="88"/>
      <c r="E19"/>
      <c r="J19" s="120"/>
      <c r="K19" s="120"/>
      <c r="L19" s="120"/>
      <c r="M19" s="120"/>
      <c r="N19" s="120"/>
      <c r="O19" s="120"/>
      <c r="P19" s="120"/>
      <c r="Q19" s="120"/>
      <c r="R19" s="120"/>
      <c r="S19" s="120"/>
      <c r="T19" s="120"/>
      <c r="U19" s="120"/>
      <c r="V19" s="120"/>
      <c r="W19" s="120"/>
      <c r="X19" s="120"/>
      <c r="Y19" s="120"/>
    </row>
    <row r="20" spans="3:27" x14ac:dyDescent="0.25">
      <c r="C20" s="88"/>
      <c r="E20" t="s">
        <v>471</v>
      </c>
      <c r="G20" t="s">
        <v>172</v>
      </c>
      <c r="H20" s="63"/>
      <c r="J20" s="120">
        <f>'System peak demand'!J200</f>
        <v>2267.3266648329709</v>
      </c>
      <c r="K20" s="120">
        <f>'System peak demand'!K200</f>
        <v>13.309937652820865</v>
      </c>
      <c r="L20" s="120">
        <f>'System peak demand'!L200</f>
        <v>819.46180439647003</v>
      </c>
      <c r="M20" s="120">
        <f>'System peak demand'!M200</f>
        <v>1.1172858732472155</v>
      </c>
      <c r="N20" s="120">
        <f>'System peak demand'!N200</f>
        <v>718.58039481394678</v>
      </c>
      <c r="O20" s="120">
        <f>'System peak demand'!O200</f>
        <v>50.835768858499648</v>
      </c>
      <c r="P20" s="120">
        <f>'System peak demand'!P200</f>
        <v>1115.219449165111</v>
      </c>
      <c r="Q20" s="120">
        <f>'System peak demand'!Q200</f>
        <v>51.883346868166747</v>
      </c>
      <c r="R20" s="120">
        <f>'System peak demand'!R200</f>
        <v>0</v>
      </c>
      <c r="S20" s="120">
        <f>'System peak demand'!S200</f>
        <v>0</v>
      </c>
      <c r="T20" s="120">
        <f>'System peak demand'!T200</f>
        <v>0</v>
      </c>
      <c r="U20" s="120">
        <f>'System peak demand'!U200</f>
        <v>0</v>
      </c>
      <c r="V20" s="120">
        <f>'System peak demand'!V200</f>
        <v>0</v>
      </c>
      <c r="W20" s="120">
        <f>'System peak demand'!W200</f>
        <v>0</v>
      </c>
      <c r="X20" s="120">
        <f>'System peak demand'!X200</f>
        <v>0</v>
      </c>
      <c r="Y20" s="120">
        <f>'System peak demand'!Y200</f>
        <v>0</v>
      </c>
    </row>
    <row r="21" spans="3:27" x14ac:dyDescent="0.25">
      <c r="J21" s="89"/>
      <c r="K21" s="89"/>
      <c r="L21" s="89"/>
      <c r="M21" s="89"/>
      <c r="N21" s="89"/>
      <c r="O21" s="89"/>
      <c r="P21" s="89"/>
      <c r="Q21" s="89"/>
      <c r="R21" s="89"/>
      <c r="S21" s="89"/>
      <c r="T21" s="89"/>
      <c r="U21" s="89"/>
      <c r="V21" s="89"/>
      <c r="W21" s="89"/>
      <c r="X21" s="89"/>
      <c r="Y21" s="89"/>
    </row>
    <row r="22" spans="3:27" x14ac:dyDescent="0.25">
      <c r="C22" s="31" t="str">
        <f ca="1">INDEX('Version control'!$H$34:$H$57,MATCH($A$1,'Version control'!$F$34:$F$57,0),1)&amp;"-B: Capacity elements allocated to fixed charges"</f>
        <v>Section 114-B: Capacity elements allocated to fixed charges</v>
      </c>
      <c r="D22" s="31"/>
      <c r="E22" s="31"/>
      <c r="F22" s="31"/>
      <c r="G22" s="31"/>
      <c r="H22" s="31"/>
      <c r="I22" s="31"/>
      <c r="J22" s="90"/>
      <c r="K22" s="90"/>
      <c r="L22" s="90"/>
      <c r="M22" s="90"/>
      <c r="N22" s="90"/>
      <c r="O22" s="90"/>
      <c r="P22" s="90"/>
      <c r="Q22" s="90"/>
      <c r="R22" s="90"/>
      <c r="S22" s="90"/>
      <c r="T22" s="90"/>
      <c r="U22" s="90"/>
      <c r="V22" s="90"/>
      <c r="W22" s="90"/>
      <c r="X22" s="90"/>
      <c r="Y22" s="90"/>
      <c r="Z22" s="31"/>
      <c r="AA22" s="31"/>
    </row>
    <row r="23" spans="3:27" x14ac:dyDescent="0.25">
      <c r="D23"/>
      <c r="E23" s="32"/>
      <c r="I23" t="s">
        <v>154</v>
      </c>
      <c r="J23" s="89"/>
      <c r="K23" s="89"/>
      <c r="L23" s="89"/>
      <c r="M23" s="89"/>
      <c r="N23" s="89"/>
      <c r="O23" s="89"/>
      <c r="P23" s="89"/>
      <c r="Q23" s="89"/>
      <c r="R23" s="89"/>
      <c r="S23" s="89"/>
      <c r="T23" s="89"/>
      <c r="U23" s="89"/>
      <c r="V23" s="89"/>
      <c r="W23" s="89"/>
      <c r="X23" s="89"/>
      <c r="Y23" s="89"/>
      <c r="AA23" t="s">
        <v>721</v>
      </c>
    </row>
    <row r="24" spans="3:27" x14ac:dyDescent="0.25">
      <c r="C24" s="88"/>
      <c r="E24" s="32" t="s">
        <v>621</v>
      </c>
      <c r="J24" s="89"/>
      <c r="K24" s="89"/>
      <c r="L24" s="89"/>
      <c r="M24" s="89"/>
      <c r="N24" s="89"/>
      <c r="O24" s="89"/>
      <c r="P24" s="89"/>
      <c r="Q24" s="89"/>
      <c r="R24" s="89"/>
      <c r="S24" s="89"/>
      <c r="T24" s="89"/>
      <c r="U24" s="89"/>
      <c r="V24" s="89"/>
      <c r="W24" s="89"/>
      <c r="X24" s="89"/>
      <c r="Y24" s="89"/>
    </row>
    <row r="25" spans="3:27" x14ac:dyDescent="0.25">
      <c r="C25" s="88"/>
      <c r="E25" s="29"/>
      <c r="F25" s="23" t="s">
        <v>189</v>
      </c>
      <c r="G25" s="23" t="s">
        <v>271</v>
      </c>
      <c r="H25" s="23"/>
      <c r="I25" s="23"/>
      <c r="J25" s="83"/>
      <c r="K25" s="83"/>
      <c r="L25" s="83"/>
      <c r="M25" s="83"/>
      <c r="N25" s="83"/>
      <c r="O25" s="83"/>
      <c r="P25" s="83"/>
      <c r="Q25" s="83"/>
      <c r="R25" s="83"/>
      <c r="S25" s="83"/>
      <c r="T25" s="83"/>
      <c r="U25" s="83"/>
      <c r="V25" s="83"/>
      <c r="W25" s="83"/>
      <c r="X25" s="83"/>
      <c r="Y25" s="83"/>
    </row>
    <row r="26" spans="3:27" x14ac:dyDescent="0.25">
      <c r="C26" s="88"/>
      <c r="E26" s="29"/>
      <c r="F26" t="s">
        <v>191</v>
      </c>
      <c r="G26" t="s">
        <v>271</v>
      </c>
      <c r="J26" s="79"/>
      <c r="K26" s="79"/>
      <c r="L26" s="79"/>
      <c r="M26" s="79"/>
      <c r="N26" s="79"/>
      <c r="O26" s="79"/>
      <c r="P26" s="79"/>
      <c r="Q26" s="79"/>
      <c r="R26" s="79"/>
      <c r="S26" s="79"/>
      <c r="T26" s="79"/>
      <c r="U26" s="79"/>
      <c r="V26" s="79"/>
      <c r="W26" s="79"/>
      <c r="X26" s="79"/>
      <c r="Y26" s="79"/>
    </row>
    <row r="27" spans="3:27" x14ac:dyDescent="0.25">
      <c r="C27" s="88"/>
      <c r="E27" s="29"/>
      <c r="F27" t="s">
        <v>192</v>
      </c>
      <c r="G27" t="s">
        <v>271</v>
      </c>
      <c r="J27" s="120">
        <f>'Capacity charges'!J264</f>
        <v>0</v>
      </c>
      <c r="K27" s="120">
        <f>'Capacity charges'!K264</f>
        <v>0</v>
      </c>
      <c r="L27" s="120">
        <f>'Capacity charges'!L264</f>
        <v>0</v>
      </c>
      <c r="M27" s="120">
        <f>'Capacity charges'!M264</f>
        <v>0</v>
      </c>
      <c r="N27" s="120">
        <f>'Capacity charges'!N264</f>
        <v>0</v>
      </c>
      <c r="O27" s="120">
        <f>'Capacity charges'!O264</f>
        <v>0</v>
      </c>
      <c r="P27" s="120">
        <f>'Capacity charges'!P264</f>
        <v>0</v>
      </c>
      <c r="Q27" s="120">
        <f>'Capacity charges'!Q264</f>
        <v>0</v>
      </c>
      <c r="R27" s="120">
        <f>'Capacity charges'!R264</f>
        <v>0</v>
      </c>
      <c r="S27" s="120">
        <f>'Capacity charges'!S264</f>
        <v>0</v>
      </c>
      <c r="T27" s="120">
        <f>'Capacity charges'!T264</f>
        <v>0</v>
      </c>
      <c r="U27" s="120">
        <f>'Capacity charges'!U264</f>
        <v>0</v>
      </c>
      <c r="V27" s="120">
        <f>'Capacity charges'!V264</f>
        <v>0</v>
      </c>
      <c r="W27" s="120">
        <f>'Capacity charges'!W264</f>
        <v>0</v>
      </c>
      <c r="X27" s="120">
        <f>'Capacity charges'!X264</f>
        <v>0</v>
      </c>
      <c r="Y27" s="120">
        <f>'Capacity charges'!Y264</f>
        <v>0</v>
      </c>
    </row>
    <row r="28" spans="3:27" x14ac:dyDescent="0.25">
      <c r="C28" s="88"/>
      <c r="E28" s="29"/>
      <c r="F28" t="s">
        <v>193</v>
      </c>
      <c r="G28" t="s">
        <v>271</v>
      </c>
      <c r="J28" s="120">
        <f>'Capacity charges'!J265</f>
        <v>0</v>
      </c>
      <c r="K28" s="120">
        <f>'Capacity charges'!K265</f>
        <v>0</v>
      </c>
      <c r="L28" s="120">
        <f>'Capacity charges'!L265</f>
        <v>0</v>
      </c>
      <c r="M28" s="120">
        <f>'Capacity charges'!M265</f>
        <v>0</v>
      </c>
      <c r="N28" s="120">
        <f>'Capacity charges'!N265</f>
        <v>0</v>
      </c>
      <c r="O28" s="120">
        <f>'Capacity charges'!O265</f>
        <v>0</v>
      </c>
      <c r="P28" s="120">
        <f>'Capacity charges'!P265</f>
        <v>0</v>
      </c>
      <c r="Q28" s="120">
        <f>'Capacity charges'!Q265</f>
        <v>0</v>
      </c>
      <c r="R28" s="120">
        <f>'Capacity charges'!R265</f>
        <v>0</v>
      </c>
      <c r="S28" s="120">
        <f>'Capacity charges'!S265</f>
        <v>0</v>
      </c>
      <c r="T28" s="120">
        <f>'Capacity charges'!T265</f>
        <v>0</v>
      </c>
      <c r="U28" s="120">
        <f>'Capacity charges'!U265</f>
        <v>0</v>
      </c>
      <c r="V28" s="120">
        <f>'Capacity charges'!V265</f>
        <v>0</v>
      </c>
      <c r="W28" s="120">
        <f>'Capacity charges'!W265</f>
        <v>0</v>
      </c>
      <c r="X28" s="120">
        <f>'Capacity charges'!X265</f>
        <v>0</v>
      </c>
      <c r="Y28" s="120">
        <f>'Capacity charges'!Y265</f>
        <v>0</v>
      </c>
    </row>
    <row r="29" spans="3:27" x14ac:dyDescent="0.25">
      <c r="C29" s="88"/>
      <c r="E29" s="29"/>
      <c r="F29" t="s">
        <v>194</v>
      </c>
      <c r="G29" t="s">
        <v>271</v>
      </c>
      <c r="J29" s="120">
        <f>'Capacity charges'!J266</f>
        <v>0</v>
      </c>
      <c r="K29" s="120">
        <f>'Capacity charges'!K266</f>
        <v>0</v>
      </c>
      <c r="L29" s="120">
        <f>'Capacity charges'!L266</f>
        <v>0</v>
      </c>
      <c r="M29" s="120">
        <f>'Capacity charges'!M266</f>
        <v>0</v>
      </c>
      <c r="N29" s="120">
        <f>'Capacity charges'!N266</f>
        <v>0</v>
      </c>
      <c r="O29" s="120">
        <f>'Capacity charges'!O266</f>
        <v>0</v>
      </c>
      <c r="P29" s="120">
        <f>'Capacity charges'!P266</f>
        <v>0</v>
      </c>
      <c r="Q29" s="120">
        <f>'Capacity charges'!Q266</f>
        <v>0</v>
      </c>
      <c r="R29" s="120">
        <f>'Capacity charges'!R266</f>
        <v>0</v>
      </c>
      <c r="S29" s="120">
        <f>'Capacity charges'!S266</f>
        <v>0</v>
      </c>
      <c r="T29" s="120">
        <f>'Capacity charges'!T266</f>
        <v>0</v>
      </c>
      <c r="U29" s="120">
        <f>'Capacity charges'!U266</f>
        <v>0</v>
      </c>
      <c r="V29" s="120">
        <f>'Capacity charges'!V266</f>
        <v>0</v>
      </c>
      <c r="W29" s="120">
        <f>'Capacity charges'!W266</f>
        <v>0</v>
      </c>
      <c r="X29" s="120">
        <f>'Capacity charges'!X266</f>
        <v>0</v>
      </c>
      <c r="Y29" s="120">
        <f>'Capacity charges'!Y266</f>
        <v>0</v>
      </c>
    </row>
    <row r="30" spans="3:27" x14ac:dyDescent="0.25">
      <c r="C30" s="88"/>
      <c r="E30" s="29"/>
      <c r="F30" t="s">
        <v>195</v>
      </c>
      <c r="G30" t="s">
        <v>271</v>
      </c>
      <c r="J30" s="120">
        <f>'Capacity charges'!J267</f>
        <v>0</v>
      </c>
      <c r="K30" s="120">
        <f>'Capacity charges'!K267</f>
        <v>0</v>
      </c>
      <c r="L30" s="120">
        <f>'Capacity charges'!L267</f>
        <v>0</v>
      </c>
      <c r="M30" s="120">
        <f>'Capacity charges'!M267</f>
        <v>0</v>
      </c>
      <c r="N30" s="120">
        <f>'Capacity charges'!N267</f>
        <v>0</v>
      </c>
      <c r="O30" s="120">
        <f>'Capacity charges'!O267</f>
        <v>0</v>
      </c>
      <c r="P30" s="120">
        <f>'Capacity charges'!P267</f>
        <v>0</v>
      </c>
      <c r="Q30" s="120">
        <f>'Capacity charges'!Q267</f>
        <v>0</v>
      </c>
      <c r="R30" s="120">
        <f>'Capacity charges'!R267</f>
        <v>0</v>
      </c>
      <c r="S30" s="120">
        <f>'Capacity charges'!S267</f>
        <v>0</v>
      </c>
      <c r="T30" s="120">
        <f>'Capacity charges'!T267</f>
        <v>0</v>
      </c>
      <c r="U30" s="120">
        <f>'Capacity charges'!U267</f>
        <v>0</v>
      </c>
      <c r="V30" s="120">
        <f>'Capacity charges'!V267</f>
        <v>0</v>
      </c>
      <c r="W30" s="120">
        <f>'Capacity charges'!W267</f>
        <v>0</v>
      </c>
      <c r="X30" s="120">
        <f>'Capacity charges'!X267</f>
        <v>0</v>
      </c>
      <c r="Y30" s="120">
        <f>'Capacity charges'!Y267</f>
        <v>0</v>
      </c>
    </row>
    <row r="31" spans="3:27" x14ac:dyDescent="0.25">
      <c r="C31" s="88"/>
      <c r="E31" s="29"/>
      <c r="F31" t="s">
        <v>196</v>
      </c>
      <c r="G31" t="s">
        <v>271</v>
      </c>
      <c r="J31" s="120">
        <f>'Capacity charges'!J268</f>
        <v>0</v>
      </c>
      <c r="K31" s="120">
        <f>'Capacity charges'!K268</f>
        <v>0</v>
      </c>
      <c r="L31" s="120">
        <f>'Capacity charges'!L268</f>
        <v>0</v>
      </c>
      <c r="M31" s="120">
        <f>'Capacity charges'!M268</f>
        <v>0</v>
      </c>
      <c r="N31" s="120">
        <f>'Capacity charges'!N268</f>
        <v>0</v>
      </c>
      <c r="O31" s="120">
        <f>'Capacity charges'!O268</f>
        <v>0</v>
      </c>
      <c r="P31" s="120">
        <f>'Capacity charges'!P268</f>
        <v>0</v>
      </c>
      <c r="Q31" s="120">
        <f>'Capacity charges'!Q268</f>
        <v>0</v>
      </c>
      <c r="R31" s="120">
        <f>'Capacity charges'!R268</f>
        <v>0</v>
      </c>
      <c r="S31" s="120">
        <f>'Capacity charges'!S268</f>
        <v>0</v>
      </c>
      <c r="T31" s="120">
        <f>'Capacity charges'!T268</f>
        <v>0</v>
      </c>
      <c r="U31" s="120">
        <f>'Capacity charges'!U268</f>
        <v>0</v>
      </c>
      <c r="V31" s="120">
        <f>'Capacity charges'!V268</f>
        <v>0</v>
      </c>
      <c r="W31" s="120">
        <f>'Capacity charges'!W268</f>
        <v>0</v>
      </c>
      <c r="X31" s="120">
        <f>'Capacity charges'!X268</f>
        <v>0</v>
      </c>
      <c r="Y31" s="120">
        <f>'Capacity charges'!Y268</f>
        <v>0</v>
      </c>
    </row>
    <row r="32" spans="3:27" x14ac:dyDescent="0.25">
      <c r="C32" s="88"/>
      <c r="E32" s="29"/>
      <c r="F32" t="s">
        <v>197</v>
      </c>
      <c r="G32" t="s">
        <v>271</v>
      </c>
      <c r="J32" s="120">
        <f>'Capacity charges'!J269</f>
        <v>0</v>
      </c>
      <c r="K32" s="120">
        <f>'Capacity charges'!K269</f>
        <v>0</v>
      </c>
      <c r="L32" s="120">
        <f>'Capacity charges'!L269</f>
        <v>0</v>
      </c>
      <c r="M32" s="120">
        <f>'Capacity charges'!M269</f>
        <v>0</v>
      </c>
      <c r="N32" s="120">
        <f>'Capacity charges'!N269</f>
        <v>0</v>
      </c>
      <c r="O32" s="120">
        <f>'Capacity charges'!O269</f>
        <v>0</v>
      </c>
      <c r="P32" s="120">
        <f>'Capacity charges'!P269</f>
        <v>0</v>
      </c>
      <c r="Q32" s="120">
        <f>'Capacity charges'!Q269</f>
        <v>0</v>
      </c>
      <c r="R32" s="120">
        <f>'Capacity charges'!R269</f>
        <v>0</v>
      </c>
      <c r="S32" s="120">
        <f>'Capacity charges'!S269</f>
        <v>0</v>
      </c>
      <c r="T32" s="120">
        <f>'Capacity charges'!T269</f>
        <v>0</v>
      </c>
      <c r="U32" s="120">
        <f>'Capacity charges'!U269</f>
        <v>0</v>
      </c>
      <c r="V32" s="120">
        <f>'Capacity charges'!V269</f>
        <v>0</v>
      </c>
      <c r="W32" s="120">
        <f>'Capacity charges'!W269</f>
        <v>0</v>
      </c>
      <c r="X32" s="120">
        <f>'Capacity charges'!X269</f>
        <v>0</v>
      </c>
      <c r="Y32" s="120">
        <f>'Capacity charges'!Y269</f>
        <v>0</v>
      </c>
    </row>
    <row r="33" spans="3:25" x14ac:dyDescent="0.25">
      <c r="C33" s="88"/>
      <c r="E33" s="29"/>
      <c r="F33" t="s">
        <v>198</v>
      </c>
      <c r="G33" t="s">
        <v>271</v>
      </c>
      <c r="J33" s="120">
        <f>'Capacity charges'!J270</f>
        <v>0</v>
      </c>
      <c r="K33" s="120">
        <f>'Capacity charges'!K270</f>
        <v>0</v>
      </c>
      <c r="L33" s="120">
        <f>'Capacity charges'!L270</f>
        <v>0</v>
      </c>
      <c r="M33" s="120">
        <f>'Capacity charges'!M270</f>
        <v>0</v>
      </c>
      <c r="N33" s="120">
        <f>'Capacity charges'!N270</f>
        <v>0</v>
      </c>
      <c r="O33" s="120">
        <f>'Capacity charges'!O270</f>
        <v>0</v>
      </c>
      <c r="P33" s="120">
        <f>'Capacity charges'!P270</f>
        <v>0</v>
      </c>
      <c r="Q33" s="120">
        <f>'Capacity charges'!Q270</f>
        <v>0</v>
      </c>
      <c r="R33" s="120">
        <f>'Capacity charges'!R270</f>
        <v>0</v>
      </c>
      <c r="S33" s="120">
        <f>'Capacity charges'!S270</f>
        <v>0</v>
      </c>
      <c r="T33" s="120">
        <f>'Capacity charges'!T270</f>
        <v>0</v>
      </c>
      <c r="U33" s="120">
        <f>'Capacity charges'!U270</f>
        <v>0</v>
      </c>
      <c r="V33" s="120">
        <f>'Capacity charges'!V270</f>
        <v>0</v>
      </c>
      <c r="W33" s="120">
        <f>'Capacity charges'!W270</f>
        <v>0</v>
      </c>
      <c r="X33" s="120">
        <f>'Capacity charges'!X270</f>
        <v>0</v>
      </c>
      <c r="Y33" s="120">
        <f>'Capacity charges'!Y270</f>
        <v>0</v>
      </c>
    </row>
    <row r="34" spans="3:25" x14ac:dyDescent="0.25">
      <c r="C34" s="88"/>
      <c r="E34" s="29"/>
      <c r="F34" t="s">
        <v>199</v>
      </c>
      <c r="G34" t="s">
        <v>271</v>
      </c>
      <c r="J34" s="120">
        <f>'Capacity charges'!J271</f>
        <v>0.12322085469629813</v>
      </c>
      <c r="K34" s="120">
        <f>'Capacity charges'!K271</f>
        <v>0</v>
      </c>
      <c r="L34" s="120">
        <f>'Capacity charges'!L271</f>
        <v>0.12322085469629813</v>
      </c>
      <c r="M34" s="120">
        <f>'Capacity charges'!M271</f>
        <v>0</v>
      </c>
      <c r="N34" s="120">
        <f>'Capacity charges'!N271</f>
        <v>0</v>
      </c>
      <c r="O34" s="120">
        <f>'Capacity charges'!O271</f>
        <v>0</v>
      </c>
      <c r="P34" s="120">
        <f>'Capacity charges'!P271</f>
        <v>0</v>
      </c>
      <c r="Q34" s="120">
        <f>'Capacity charges'!Q271</f>
        <v>0</v>
      </c>
      <c r="R34" s="120">
        <f>'Capacity charges'!R271</f>
        <v>0</v>
      </c>
      <c r="S34" s="120">
        <f>'Capacity charges'!S271</f>
        <v>0</v>
      </c>
      <c r="T34" s="120">
        <f>'Capacity charges'!T271</f>
        <v>0</v>
      </c>
      <c r="U34" s="120">
        <f>'Capacity charges'!U271</f>
        <v>0</v>
      </c>
      <c r="V34" s="120">
        <f>'Capacity charges'!V271</f>
        <v>0</v>
      </c>
      <c r="W34" s="120">
        <f>'Capacity charges'!W271</f>
        <v>0</v>
      </c>
      <c r="X34" s="120">
        <f>'Capacity charges'!X271</f>
        <v>0</v>
      </c>
      <c r="Y34" s="120">
        <f>'Capacity charges'!Y271</f>
        <v>0</v>
      </c>
    </row>
    <row r="35" spans="3:25" x14ac:dyDescent="0.25">
      <c r="C35" s="88"/>
      <c r="E35" s="29"/>
      <c r="F35" t="s">
        <v>376</v>
      </c>
      <c r="G35" t="s">
        <v>271</v>
      </c>
      <c r="J35" s="79"/>
      <c r="K35" s="79"/>
      <c r="L35" s="79"/>
      <c r="M35" s="79"/>
      <c r="N35" s="79"/>
      <c r="O35" s="79"/>
      <c r="P35" s="79"/>
      <c r="Q35" s="79"/>
      <c r="R35" s="79"/>
      <c r="S35" s="79"/>
      <c r="T35" s="79"/>
      <c r="U35" s="79"/>
      <c r="V35" s="79"/>
      <c r="W35" s="79"/>
      <c r="X35" s="79"/>
      <c r="Y35" s="79"/>
    </row>
    <row r="36" spans="3:25" x14ac:dyDescent="0.25">
      <c r="C36" s="88"/>
      <c r="E36" s="29"/>
      <c r="F36" s="37" t="s">
        <v>377</v>
      </c>
      <c r="G36" s="37" t="s">
        <v>271</v>
      </c>
      <c r="H36" s="37"/>
      <c r="I36" s="37"/>
      <c r="J36" s="81"/>
      <c r="K36" s="81"/>
      <c r="L36" s="81"/>
      <c r="M36" s="81"/>
      <c r="N36" s="81"/>
      <c r="O36" s="81"/>
      <c r="P36" s="81"/>
      <c r="Q36" s="81"/>
      <c r="R36" s="81"/>
      <c r="S36" s="81"/>
      <c r="T36" s="81"/>
      <c r="U36" s="81"/>
      <c r="V36" s="81"/>
      <c r="W36" s="81"/>
      <c r="X36" s="81"/>
      <c r="Y36" s="81"/>
    </row>
    <row r="37" spans="3:25" x14ac:dyDescent="0.25">
      <c r="C37" s="88"/>
      <c r="D37"/>
      <c r="E37" s="29"/>
      <c r="J37" s="89"/>
      <c r="K37" s="89"/>
      <c r="L37" s="89"/>
      <c r="M37" s="89"/>
      <c r="N37" s="89"/>
      <c r="O37" s="89"/>
      <c r="P37" s="89"/>
      <c r="Q37" s="89"/>
      <c r="R37" s="89"/>
      <c r="S37" s="89"/>
      <c r="T37" s="89"/>
      <c r="U37" s="89"/>
      <c r="V37" s="89"/>
      <c r="W37" s="89"/>
      <c r="X37" s="89"/>
      <c r="Y37" s="89"/>
    </row>
    <row r="38" spans="3:25" x14ac:dyDescent="0.25">
      <c r="C38" s="88"/>
      <c r="E38" s="32" t="s">
        <v>622</v>
      </c>
      <c r="J38" s="89"/>
      <c r="K38" s="89"/>
      <c r="L38" s="89"/>
      <c r="M38" s="89"/>
      <c r="N38" s="89"/>
      <c r="O38" s="89"/>
      <c r="P38" s="89"/>
      <c r="Q38" s="89"/>
      <c r="R38" s="89"/>
      <c r="S38" s="89"/>
      <c r="T38" s="89"/>
      <c r="U38" s="89"/>
      <c r="V38" s="89"/>
      <c r="W38" s="89"/>
      <c r="X38" s="89"/>
      <c r="Y38" s="89"/>
    </row>
    <row r="39" spans="3:25" x14ac:dyDescent="0.25">
      <c r="C39" s="88"/>
      <c r="F39" s="23" t="s">
        <v>189</v>
      </c>
      <c r="G39" s="23" t="s">
        <v>271</v>
      </c>
      <c r="H39" s="23"/>
      <c r="I39" s="23"/>
      <c r="J39" s="124">
        <f>'Capacity charges'!J276</f>
        <v>0</v>
      </c>
      <c r="K39" s="124">
        <f>'Capacity charges'!K276</f>
        <v>0</v>
      </c>
      <c r="L39" s="124">
        <f>'Capacity charges'!L276</f>
        <v>0</v>
      </c>
      <c r="M39" s="124">
        <f>'Capacity charges'!M276</f>
        <v>0</v>
      </c>
      <c r="N39" s="124">
        <f>'Capacity charges'!N276</f>
        <v>0</v>
      </c>
      <c r="O39" s="124">
        <f>'Capacity charges'!O276</f>
        <v>0</v>
      </c>
      <c r="P39" s="124">
        <f>'Capacity charges'!P276</f>
        <v>0</v>
      </c>
      <c r="Q39" s="124">
        <f>'Capacity charges'!Q276</f>
        <v>0</v>
      </c>
      <c r="R39" s="124">
        <f>'Capacity charges'!R276</f>
        <v>0</v>
      </c>
      <c r="S39" s="124">
        <f>'Capacity charges'!S276</f>
        <v>0</v>
      </c>
      <c r="T39" s="124">
        <f>'Capacity charges'!T276</f>
        <v>0</v>
      </c>
      <c r="U39" s="124">
        <f>'Capacity charges'!U276</f>
        <v>0</v>
      </c>
      <c r="V39" s="124">
        <f>'Capacity charges'!V276</f>
        <v>0</v>
      </c>
      <c r="W39" s="124">
        <f>'Capacity charges'!W276</f>
        <v>0</v>
      </c>
      <c r="X39" s="124">
        <f>'Capacity charges'!X276</f>
        <v>0</v>
      </c>
      <c r="Y39" s="124">
        <f>'Capacity charges'!Y276</f>
        <v>0</v>
      </c>
    </row>
    <row r="40" spans="3:25" x14ac:dyDescent="0.25">
      <c r="C40" s="88"/>
      <c r="F40" t="s">
        <v>191</v>
      </c>
      <c r="G40" t="s">
        <v>271</v>
      </c>
      <c r="J40" s="120">
        <f>'Capacity charges'!J277</f>
        <v>0</v>
      </c>
      <c r="K40" s="120">
        <f>'Capacity charges'!K277</f>
        <v>0</v>
      </c>
      <c r="L40" s="120">
        <f>'Capacity charges'!L277</f>
        <v>0</v>
      </c>
      <c r="M40" s="120">
        <f>'Capacity charges'!M277</f>
        <v>0</v>
      </c>
      <c r="N40" s="120">
        <f>'Capacity charges'!N277</f>
        <v>0</v>
      </c>
      <c r="O40" s="120">
        <f>'Capacity charges'!O277</f>
        <v>0</v>
      </c>
      <c r="P40" s="120">
        <f>'Capacity charges'!P277</f>
        <v>0</v>
      </c>
      <c r="Q40" s="120">
        <f>'Capacity charges'!Q277</f>
        <v>0</v>
      </c>
      <c r="R40" s="120">
        <f>'Capacity charges'!R277</f>
        <v>0</v>
      </c>
      <c r="S40" s="120">
        <f>'Capacity charges'!S277</f>
        <v>0</v>
      </c>
      <c r="T40" s="120">
        <f>'Capacity charges'!T277</f>
        <v>0</v>
      </c>
      <c r="U40" s="120">
        <f>'Capacity charges'!U277</f>
        <v>0</v>
      </c>
      <c r="V40" s="120">
        <f>'Capacity charges'!V277</f>
        <v>0</v>
      </c>
      <c r="W40" s="120">
        <f>'Capacity charges'!W277</f>
        <v>0</v>
      </c>
      <c r="X40" s="120">
        <f>'Capacity charges'!X277</f>
        <v>0</v>
      </c>
      <c r="Y40" s="120">
        <f>'Capacity charges'!Y277</f>
        <v>0</v>
      </c>
    </row>
    <row r="41" spans="3:25" x14ac:dyDescent="0.25">
      <c r="C41" s="88"/>
      <c r="F41" t="s">
        <v>192</v>
      </c>
      <c r="G41" t="s">
        <v>271</v>
      </c>
      <c r="J41" s="120">
        <f>'Capacity charges'!J278</f>
        <v>0</v>
      </c>
      <c r="K41" s="120">
        <f>'Capacity charges'!K278</f>
        <v>0</v>
      </c>
      <c r="L41" s="120">
        <f>'Capacity charges'!L278</f>
        <v>0</v>
      </c>
      <c r="M41" s="120">
        <f>'Capacity charges'!M278</f>
        <v>0</v>
      </c>
      <c r="N41" s="120">
        <f>'Capacity charges'!N278</f>
        <v>0</v>
      </c>
      <c r="O41" s="120">
        <f>'Capacity charges'!O278</f>
        <v>0</v>
      </c>
      <c r="P41" s="120">
        <f>'Capacity charges'!P278</f>
        <v>0</v>
      </c>
      <c r="Q41" s="120">
        <f>'Capacity charges'!Q278</f>
        <v>0</v>
      </c>
      <c r="R41" s="120">
        <f>'Capacity charges'!R278</f>
        <v>0</v>
      </c>
      <c r="S41" s="120">
        <f>'Capacity charges'!S278</f>
        <v>0</v>
      </c>
      <c r="T41" s="120">
        <f>'Capacity charges'!T278</f>
        <v>0</v>
      </c>
      <c r="U41" s="120">
        <f>'Capacity charges'!U278</f>
        <v>0</v>
      </c>
      <c r="V41" s="120">
        <f>'Capacity charges'!V278</f>
        <v>0</v>
      </c>
      <c r="W41" s="120">
        <f>'Capacity charges'!W278</f>
        <v>0</v>
      </c>
      <c r="X41" s="120">
        <f>'Capacity charges'!X278</f>
        <v>0</v>
      </c>
      <c r="Y41" s="120">
        <f>'Capacity charges'!Y278</f>
        <v>0</v>
      </c>
    </row>
    <row r="42" spans="3:25" x14ac:dyDescent="0.25">
      <c r="C42" s="88"/>
      <c r="F42" t="s">
        <v>193</v>
      </c>
      <c r="G42" t="s">
        <v>271</v>
      </c>
      <c r="J42" s="120">
        <f>'Capacity charges'!J279</f>
        <v>0</v>
      </c>
      <c r="K42" s="120">
        <f>'Capacity charges'!K279</f>
        <v>0</v>
      </c>
      <c r="L42" s="120">
        <f>'Capacity charges'!L279</f>
        <v>0</v>
      </c>
      <c r="M42" s="120">
        <f>'Capacity charges'!M279</f>
        <v>0</v>
      </c>
      <c r="N42" s="120">
        <f>'Capacity charges'!N279</f>
        <v>0</v>
      </c>
      <c r="O42" s="120">
        <f>'Capacity charges'!O279</f>
        <v>0</v>
      </c>
      <c r="P42" s="120">
        <f>'Capacity charges'!P279</f>
        <v>0</v>
      </c>
      <c r="Q42" s="120">
        <f>'Capacity charges'!Q279</f>
        <v>0</v>
      </c>
      <c r="R42" s="120">
        <f>'Capacity charges'!R279</f>
        <v>0</v>
      </c>
      <c r="S42" s="120">
        <f>'Capacity charges'!S279</f>
        <v>0</v>
      </c>
      <c r="T42" s="120">
        <f>'Capacity charges'!T279</f>
        <v>0</v>
      </c>
      <c r="U42" s="120">
        <f>'Capacity charges'!U279</f>
        <v>0</v>
      </c>
      <c r="V42" s="120">
        <f>'Capacity charges'!V279</f>
        <v>0</v>
      </c>
      <c r="W42" s="120">
        <f>'Capacity charges'!W279</f>
        <v>0</v>
      </c>
      <c r="X42" s="120">
        <f>'Capacity charges'!X279</f>
        <v>0</v>
      </c>
      <c r="Y42" s="120">
        <f>'Capacity charges'!Y279</f>
        <v>0</v>
      </c>
    </row>
    <row r="43" spans="3:25" x14ac:dyDescent="0.25">
      <c r="C43" s="88"/>
      <c r="F43" t="s">
        <v>194</v>
      </c>
      <c r="G43" t="s">
        <v>271</v>
      </c>
      <c r="J43" s="120">
        <f>'Capacity charges'!J280</f>
        <v>0</v>
      </c>
      <c r="K43" s="120">
        <f>'Capacity charges'!K280</f>
        <v>0</v>
      </c>
      <c r="L43" s="120">
        <f>'Capacity charges'!L280</f>
        <v>0</v>
      </c>
      <c r="M43" s="120">
        <f>'Capacity charges'!M280</f>
        <v>0</v>
      </c>
      <c r="N43" s="120">
        <f>'Capacity charges'!N280</f>
        <v>0</v>
      </c>
      <c r="O43" s="120">
        <f>'Capacity charges'!O280</f>
        <v>0</v>
      </c>
      <c r="P43" s="120">
        <f>'Capacity charges'!P280</f>
        <v>0</v>
      </c>
      <c r="Q43" s="120">
        <f>'Capacity charges'!Q280</f>
        <v>0</v>
      </c>
      <c r="R43" s="120">
        <f>'Capacity charges'!R280</f>
        <v>0</v>
      </c>
      <c r="S43" s="120">
        <f>'Capacity charges'!S280</f>
        <v>0</v>
      </c>
      <c r="T43" s="120">
        <f>'Capacity charges'!T280</f>
        <v>0</v>
      </c>
      <c r="U43" s="120">
        <f>'Capacity charges'!U280</f>
        <v>0</v>
      </c>
      <c r="V43" s="120">
        <f>'Capacity charges'!V280</f>
        <v>0</v>
      </c>
      <c r="W43" s="120">
        <f>'Capacity charges'!W280</f>
        <v>0</v>
      </c>
      <c r="X43" s="120">
        <f>'Capacity charges'!X280</f>
        <v>0</v>
      </c>
      <c r="Y43" s="120">
        <f>'Capacity charges'!Y280</f>
        <v>0</v>
      </c>
    </row>
    <row r="44" spans="3:25" x14ac:dyDescent="0.25">
      <c r="C44" s="88"/>
      <c r="F44" t="s">
        <v>195</v>
      </c>
      <c r="G44" t="s">
        <v>271</v>
      </c>
      <c r="J44" s="120">
        <f>'Capacity charges'!J281</f>
        <v>0</v>
      </c>
      <c r="K44" s="120">
        <f>'Capacity charges'!K281</f>
        <v>0</v>
      </c>
      <c r="L44" s="120">
        <f>'Capacity charges'!L281</f>
        <v>0</v>
      </c>
      <c r="M44" s="120">
        <f>'Capacity charges'!M281</f>
        <v>0</v>
      </c>
      <c r="N44" s="120">
        <f>'Capacity charges'!N281</f>
        <v>0</v>
      </c>
      <c r="O44" s="120">
        <f>'Capacity charges'!O281</f>
        <v>0</v>
      </c>
      <c r="P44" s="120">
        <f>'Capacity charges'!P281</f>
        <v>0</v>
      </c>
      <c r="Q44" s="120">
        <f>'Capacity charges'!Q281</f>
        <v>0</v>
      </c>
      <c r="R44" s="120">
        <f>'Capacity charges'!R281</f>
        <v>0</v>
      </c>
      <c r="S44" s="120">
        <f>'Capacity charges'!S281</f>
        <v>0</v>
      </c>
      <c r="T44" s="120">
        <f>'Capacity charges'!T281</f>
        <v>0</v>
      </c>
      <c r="U44" s="120">
        <f>'Capacity charges'!U281</f>
        <v>0</v>
      </c>
      <c r="V44" s="120">
        <f>'Capacity charges'!V281</f>
        <v>0</v>
      </c>
      <c r="W44" s="120">
        <f>'Capacity charges'!W281</f>
        <v>0</v>
      </c>
      <c r="X44" s="120">
        <f>'Capacity charges'!X281</f>
        <v>0</v>
      </c>
      <c r="Y44" s="120">
        <f>'Capacity charges'!Y281</f>
        <v>0</v>
      </c>
    </row>
    <row r="45" spans="3:25" x14ac:dyDescent="0.25">
      <c r="C45" s="88"/>
      <c r="F45" t="s">
        <v>196</v>
      </c>
      <c r="G45" t="s">
        <v>271</v>
      </c>
      <c r="J45" s="120">
        <f>'Capacity charges'!J282</f>
        <v>0</v>
      </c>
      <c r="K45" s="120">
        <f>'Capacity charges'!K282</f>
        <v>0</v>
      </c>
      <c r="L45" s="120">
        <f>'Capacity charges'!L282</f>
        <v>0</v>
      </c>
      <c r="M45" s="120">
        <f>'Capacity charges'!M282</f>
        <v>0</v>
      </c>
      <c r="N45" s="120">
        <f>'Capacity charges'!N282</f>
        <v>0</v>
      </c>
      <c r="O45" s="120">
        <f>'Capacity charges'!O282</f>
        <v>0</v>
      </c>
      <c r="P45" s="120">
        <f>'Capacity charges'!P282</f>
        <v>0</v>
      </c>
      <c r="Q45" s="120">
        <f>'Capacity charges'!Q282</f>
        <v>0</v>
      </c>
      <c r="R45" s="120">
        <f>'Capacity charges'!R282</f>
        <v>0</v>
      </c>
      <c r="S45" s="120">
        <f>'Capacity charges'!S282</f>
        <v>0</v>
      </c>
      <c r="T45" s="120">
        <f>'Capacity charges'!T282</f>
        <v>0</v>
      </c>
      <c r="U45" s="120">
        <f>'Capacity charges'!U282</f>
        <v>0</v>
      </c>
      <c r="V45" s="120">
        <f>'Capacity charges'!V282</f>
        <v>0</v>
      </c>
      <c r="W45" s="120">
        <f>'Capacity charges'!W282</f>
        <v>0</v>
      </c>
      <c r="X45" s="120">
        <f>'Capacity charges'!X282</f>
        <v>0</v>
      </c>
      <c r="Y45" s="120">
        <f>'Capacity charges'!Y282</f>
        <v>0</v>
      </c>
    </row>
    <row r="46" spans="3:25" x14ac:dyDescent="0.25">
      <c r="C46" s="88"/>
      <c r="F46" t="s">
        <v>197</v>
      </c>
      <c r="G46" t="s">
        <v>271</v>
      </c>
      <c r="J46" s="120">
        <f>'Capacity charges'!J283</f>
        <v>0</v>
      </c>
      <c r="K46" s="120">
        <f>'Capacity charges'!K283</f>
        <v>0</v>
      </c>
      <c r="L46" s="120">
        <f>'Capacity charges'!L283</f>
        <v>0</v>
      </c>
      <c r="M46" s="120">
        <f>'Capacity charges'!M283</f>
        <v>0</v>
      </c>
      <c r="N46" s="120">
        <f>'Capacity charges'!N283</f>
        <v>0</v>
      </c>
      <c r="O46" s="120">
        <f>'Capacity charges'!O283</f>
        <v>0</v>
      </c>
      <c r="P46" s="120">
        <f>'Capacity charges'!P283</f>
        <v>0</v>
      </c>
      <c r="Q46" s="120">
        <f>'Capacity charges'!Q283</f>
        <v>0</v>
      </c>
      <c r="R46" s="120">
        <f>'Capacity charges'!R283</f>
        <v>0</v>
      </c>
      <c r="S46" s="120">
        <f>'Capacity charges'!S283</f>
        <v>0</v>
      </c>
      <c r="T46" s="120">
        <f>'Capacity charges'!T283</f>
        <v>0</v>
      </c>
      <c r="U46" s="120">
        <f>'Capacity charges'!U283</f>
        <v>0</v>
      </c>
      <c r="V46" s="120">
        <f>'Capacity charges'!V283</f>
        <v>0</v>
      </c>
      <c r="W46" s="120">
        <f>'Capacity charges'!W283</f>
        <v>0</v>
      </c>
      <c r="X46" s="120">
        <f>'Capacity charges'!X283</f>
        <v>0</v>
      </c>
      <c r="Y46" s="120">
        <f>'Capacity charges'!Y283</f>
        <v>0</v>
      </c>
    </row>
    <row r="47" spans="3:25" x14ac:dyDescent="0.25">
      <c r="C47" s="88"/>
      <c r="F47" t="s">
        <v>198</v>
      </c>
      <c r="G47" t="s">
        <v>271</v>
      </c>
      <c r="J47" s="120">
        <f>'Capacity charges'!J284</f>
        <v>0</v>
      </c>
      <c r="K47" s="120">
        <f>'Capacity charges'!K284</f>
        <v>0</v>
      </c>
      <c r="L47" s="120">
        <f>'Capacity charges'!L284</f>
        <v>0</v>
      </c>
      <c r="M47" s="120">
        <f>'Capacity charges'!M284</f>
        <v>0</v>
      </c>
      <c r="N47" s="120">
        <f>'Capacity charges'!N284</f>
        <v>0</v>
      </c>
      <c r="O47" s="120">
        <f>'Capacity charges'!O284</f>
        <v>0</v>
      </c>
      <c r="P47" s="120">
        <f>'Capacity charges'!P284</f>
        <v>0</v>
      </c>
      <c r="Q47" s="120">
        <f>'Capacity charges'!Q284</f>
        <v>0</v>
      </c>
      <c r="R47" s="120">
        <f>'Capacity charges'!R284</f>
        <v>0</v>
      </c>
      <c r="S47" s="120">
        <f>'Capacity charges'!S284</f>
        <v>0</v>
      </c>
      <c r="T47" s="120">
        <f>'Capacity charges'!T284</f>
        <v>0</v>
      </c>
      <c r="U47" s="120">
        <f>'Capacity charges'!U284</f>
        <v>0</v>
      </c>
      <c r="V47" s="120">
        <f>'Capacity charges'!V284</f>
        <v>0</v>
      </c>
      <c r="W47" s="120">
        <f>'Capacity charges'!W284</f>
        <v>0</v>
      </c>
      <c r="X47" s="120">
        <f>'Capacity charges'!X284</f>
        <v>0</v>
      </c>
      <c r="Y47" s="120">
        <f>'Capacity charges'!Y284</f>
        <v>0</v>
      </c>
    </row>
    <row r="48" spans="3:25" x14ac:dyDescent="0.25">
      <c r="C48" s="88"/>
      <c r="F48" t="s">
        <v>199</v>
      </c>
      <c r="G48" t="s">
        <v>271</v>
      </c>
      <c r="J48" s="120">
        <f>'Capacity charges'!J285</f>
        <v>1.2765279769276361</v>
      </c>
      <c r="K48" s="120">
        <f>'Capacity charges'!K285</f>
        <v>0</v>
      </c>
      <c r="L48" s="120">
        <f>'Capacity charges'!L285</f>
        <v>1.2765279769276361</v>
      </c>
      <c r="M48" s="120">
        <f>'Capacity charges'!M285</f>
        <v>0</v>
      </c>
      <c r="N48" s="120">
        <f>'Capacity charges'!N285</f>
        <v>0</v>
      </c>
      <c r="O48" s="120">
        <f>'Capacity charges'!O285</f>
        <v>0</v>
      </c>
      <c r="P48" s="120">
        <f>'Capacity charges'!P285</f>
        <v>0</v>
      </c>
      <c r="Q48" s="120">
        <f>'Capacity charges'!Q285</f>
        <v>0</v>
      </c>
      <c r="R48" s="120">
        <f>'Capacity charges'!R285</f>
        <v>0</v>
      </c>
      <c r="S48" s="120">
        <f>'Capacity charges'!S285</f>
        <v>0</v>
      </c>
      <c r="T48" s="120">
        <f>'Capacity charges'!T285</f>
        <v>0</v>
      </c>
      <c r="U48" s="120">
        <f>'Capacity charges'!U285</f>
        <v>0</v>
      </c>
      <c r="V48" s="120">
        <f>'Capacity charges'!V285</f>
        <v>0</v>
      </c>
      <c r="W48" s="120">
        <f>'Capacity charges'!W285</f>
        <v>0</v>
      </c>
      <c r="X48" s="120">
        <f>'Capacity charges'!X285</f>
        <v>0</v>
      </c>
      <c r="Y48" s="120">
        <f>'Capacity charges'!Y285</f>
        <v>0</v>
      </c>
    </row>
    <row r="49" spans="3:27" x14ac:dyDescent="0.25">
      <c r="C49" s="88"/>
      <c r="F49" t="s">
        <v>376</v>
      </c>
      <c r="G49" t="s">
        <v>271</v>
      </c>
      <c r="J49" s="79"/>
      <c r="K49" s="79"/>
      <c r="L49" s="79"/>
      <c r="M49" s="79"/>
      <c r="N49" s="79"/>
      <c r="O49" s="79"/>
      <c r="P49" s="79"/>
      <c r="Q49" s="79"/>
      <c r="R49" s="79"/>
      <c r="S49" s="79"/>
      <c r="T49" s="79"/>
      <c r="U49" s="79"/>
      <c r="V49" s="79"/>
      <c r="W49" s="79"/>
      <c r="X49" s="79"/>
      <c r="Y49" s="79"/>
    </row>
    <row r="50" spans="3:27" x14ac:dyDescent="0.25">
      <c r="C50" s="88"/>
      <c r="F50" s="37" t="s">
        <v>377</v>
      </c>
      <c r="G50" s="37" t="s">
        <v>271</v>
      </c>
      <c r="H50" s="37"/>
      <c r="I50" s="37"/>
      <c r="J50" s="81"/>
      <c r="K50" s="81"/>
      <c r="L50" s="81"/>
      <c r="M50" s="81"/>
      <c r="N50" s="81"/>
      <c r="O50" s="81"/>
      <c r="P50" s="81"/>
      <c r="Q50" s="81"/>
      <c r="R50" s="81"/>
      <c r="S50" s="81"/>
      <c r="T50" s="81"/>
      <c r="U50" s="81"/>
      <c r="V50" s="81"/>
      <c r="W50" s="81"/>
      <c r="X50" s="81"/>
      <c r="Y50" s="81"/>
    </row>
    <row r="51" spans="3:27" x14ac:dyDescent="0.25">
      <c r="C51" s="88"/>
      <c r="J51" s="89"/>
      <c r="K51" s="89"/>
      <c r="L51" s="89"/>
      <c r="M51" s="89"/>
      <c r="N51" s="89"/>
      <c r="O51" s="89"/>
      <c r="P51" s="89"/>
      <c r="Q51" s="89"/>
      <c r="R51" s="89"/>
      <c r="S51" s="89"/>
      <c r="T51" s="89"/>
      <c r="U51" s="89"/>
      <c r="V51" s="89"/>
      <c r="W51" s="89"/>
      <c r="X51" s="89"/>
      <c r="Y51" s="89"/>
    </row>
    <row r="52" spans="3:27" x14ac:dyDescent="0.25">
      <c r="C52" s="31" t="str">
        <f ca="1">INDEX('Version control'!$H$34:$H$57,MATCH($A$1,'Version control'!$F$34:$F$57,0),1)&amp;"-C: Service model costs allocated to fixed charges"</f>
        <v>Section 114-C: Service model costs allocated to fixed charges</v>
      </c>
      <c r="D52" s="31"/>
      <c r="E52" s="31"/>
      <c r="F52" s="31"/>
      <c r="G52" s="31"/>
      <c r="H52" s="31"/>
      <c r="I52" s="31"/>
      <c r="J52" s="90"/>
      <c r="K52" s="90"/>
      <c r="L52" s="90"/>
      <c r="M52" s="90"/>
      <c r="N52" s="90"/>
      <c r="O52" s="90"/>
      <c r="P52" s="90"/>
      <c r="Q52" s="90"/>
      <c r="R52" s="90"/>
      <c r="S52" s="90"/>
      <c r="T52" s="90"/>
      <c r="U52" s="90"/>
      <c r="V52" s="90"/>
      <c r="W52" s="90"/>
      <c r="X52" s="90"/>
      <c r="Y52" s="90"/>
      <c r="Z52" s="31"/>
      <c r="AA52" s="31"/>
    </row>
    <row r="53" spans="3:27" x14ac:dyDescent="0.25">
      <c r="D53"/>
    </row>
    <row r="54" spans="3:27" x14ac:dyDescent="0.25">
      <c r="C54" s="32"/>
      <c r="D54"/>
      <c r="E54" s="32" t="s">
        <v>622</v>
      </c>
      <c r="I54" t="s">
        <v>154</v>
      </c>
      <c r="J54" s="89"/>
      <c r="K54" s="89"/>
      <c r="L54" s="89"/>
      <c r="M54" s="89"/>
      <c r="N54" s="89"/>
      <c r="O54" s="89"/>
      <c r="P54" s="89"/>
      <c r="Q54" s="89"/>
      <c r="R54" s="89"/>
      <c r="S54" s="89"/>
      <c r="T54" s="89"/>
      <c r="U54" s="89"/>
      <c r="V54" s="89"/>
      <c r="W54" s="89"/>
      <c r="X54" s="89"/>
      <c r="Y54" s="89"/>
      <c r="AA54" t="s">
        <v>722</v>
      </c>
    </row>
    <row r="55" spans="3:27" x14ac:dyDescent="0.25">
      <c r="C55" s="88"/>
      <c r="D55"/>
      <c r="F55" s="23" t="s">
        <v>376</v>
      </c>
      <c r="G55" s="23" t="s">
        <v>270</v>
      </c>
      <c r="H55" s="23"/>
      <c r="I55" s="23"/>
      <c r="J55" s="124">
        <f>'Service model charges'!J42</f>
        <v>1.9161024474482382</v>
      </c>
      <c r="K55" s="124">
        <f>'Service model charges'!K42</f>
        <v>0</v>
      </c>
      <c r="L55" s="124">
        <f>'Service model charges'!L42</f>
        <v>5.6182735010115907</v>
      </c>
      <c r="M55" s="124">
        <f>'Service model charges'!M42</f>
        <v>0</v>
      </c>
      <c r="N55" s="124">
        <f>'Service model charges'!N42</f>
        <v>11.209229102763059</v>
      </c>
      <c r="O55" s="124">
        <f>'Service model charges'!O42</f>
        <v>8.750007900649587</v>
      </c>
      <c r="P55" s="124">
        <f>'Service model charges'!P42</f>
        <v>0</v>
      </c>
      <c r="Q55" s="83"/>
      <c r="R55" s="124">
        <f>'Service model charges'!R42</f>
        <v>0</v>
      </c>
      <c r="S55" s="124">
        <f>'Service model charges'!S42</f>
        <v>0</v>
      </c>
      <c r="T55" s="124">
        <f>'Service model charges'!T42</f>
        <v>0</v>
      </c>
      <c r="U55" s="124">
        <f>'Service model charges'!U42</f>
        <v>0</v>
      </c>
      <c r="V55" s="124">
        <f>'Service model charges'!V42</f>
        <v>0</v>
      </c>
      <c r="W55" s="124">
        <f>'Service model charges'!W42</f>
        <v>0</v>
      </c>
      <c r="X55" s="124">
        <f>'Service model charges'!X42</f>
        <v>0</v>
      </c>
      <c r="Y55" s="124">
        <f>'Service model charges'!Y42</f>
        <v>0</v>
      </c>
    </row>
    <row r="56" spans="3:27" x14ac:dyDescent="0.25">
      <c r="C56" s="88"/>
      <c r="D56"/>
      <c r="F56" s="37" t="s">
        <v>377</v>
      </c>
      <c r="G56" s="37" t="s">
        <v>270</v>
      </c>
      <c r="H56" s="37"/>
      <c r="I56" s="37"/>
      <c r="J56" s="125">
        <f>'Service model charges'!J43</f>
        <v>0</v>
      </c>
      <c r="K56" s="125">
        <f>'Service model charges'!K43</f>
        <v>0</v>
      </c>
      <c r="L56" s="125">
        <f>'Service model charges'!L43</f>
        <v>0</v>
      </c>
      <c r="M56" s="125">
        <f>'Service model charges'!M43</f>
        <v>0</v>
      </c>
      <c r="N56" s="125">
        <f>'Service model charges'!N43</f>
        <v>0</v>
      </c>
      <c r="O56" s="125">
        <f>'Service model charges'!O43</f>
        <v>0</v>
      </c>
      <c r="P56" s="125">
        <f>'Service model charges'!P43</f>
        <v>80.778634860261405</v>
      </c>
      <c r="Q56" s="81"/>
      <c r="R56" s="125">
        <f>'Service model charges'!R43</f>
        <v>0</v>
      </c>
      <c r="S56" s="125">
        <f>'Service model charges'!S43</f>
        <v>0</v>
      </c>
      <c r="T56" s="125">
        <f>'Service model charges'!T43</f>
        <v>0</v>
      </c>
      <c r="U56" s="125">
        <f>'Service model charges'!U43</f>
        <v>0</v>
      </c>
      <c r="V56" s="125">
        <f>'Service model charges'!V43</f>
        <v>0</v>
      </c>
      <c r="W56" s="125">
        <f>'Service model charges'!W43</f>
        <v>0</v>
      </c>
      <c r="X56" s="125">
        <f>'Service model charges'!X43</f>
        <v>50.554717600698972</v>
      </c>
      <c r="Y56" s="125">
        <f>'Service model charges'!Y43</f>
        <v>50.554717600698972</v>
      </c>
    </row>
    <row r="57" spans="3:27" x14ac:dyDescent="0.25">
      <c r="C57" s="88"/>
      <c r="D57"/>
      <c r="F57" s="2"/>
    </row>
    <row r="58" spans="3:27" x14ac:dyDescent="0.25">
      <c r="C58" s="31" t="str">
        <f ca="1">INDEX('Version control'!$H$34:$H$57,MATCH($A$1,'Version control'!$F$34:$F$57,0),1)&amp;"-D: Flags"</f>
        <v>Section 114-D: Flags</v>
      </c>
      <c r="D58" s="31"/>
      <c r="E58" s="31"/>
      <c r="F58" s="31"/>
      <c r="G58" s="31"/>
      <c r="H58" s="31"/>
      <c r="I58" s="31"/>
      <c r="J58" s="31"/>
      <c r="K58" s="31"/>
      <c r="L58" s="31"/>
      <c r="M58" s="31"/>
      <c r="N58" s="31"/>
      <c r="O58" s="31"/>
      <c r="P58" s="31"/>
      <c r="Q58" s="31"/>
      <c r="R58" s="31"/>
      <c r="S58" s="31"/>
      <c r="T58" s="31"/>
      <c r="U58" s="31"/>
      <c r="V58" s="31"/>
      <c r="W58" s="31"/>
      <c r="X58" s="31"/>
      <c r="Y58" s="31"/>
      <c r="Z58" s="31"/>
      <c r="AA58" s="31"/>
    </row>
    <row r="59" spans="3:27" x14ac:dyDescent="0.25">
      <c r="C59" s="32"/>
      <c r="D59"/>
      <c r="E59"/>
    </row>
    <row r="60" spans="3:27" x14ac:dyDescent="0.25">
      <c r="D60" s="29" t="s">
        <v>723</v>
      </c>
      <c r="E60"/>
    </row>
    <row r="61" spans="3:27" x14ac:dyDescent="0.25">
      <c r="D61" s="29" t="s">
        <v>724</v>
      </c>
      <c r="E61"/>
    </row>
    <row r="62" spans="3:27" x14ac:dyDescent="0.25">
      <c r="D62" s="29"/>
      <c r="E62"/>
    </row>
    <row r="63" spans="3:27" x14ac:dyDescent="0.25">
      <c r="E63" t="s">
        <v>725</v>
      </c>
      <c r="G63" t="s">
        <v>149</v>
      </c>
      <c r="I63" t="s">
        <v>154</v>
      </c>
      <c r="J63" s="51">
        <f>'Fixed inputs'!J145</f>
        <v>1</v>
      </c>
      <c r="K63" s="51">
        <f>'Fixed inputs'!K145</f>
        <v>0</v>
      </c>
      <c r="L63" s="51">
        <f>'Fixed inputs'!L145</f>
        <v>1</v>
      </c>
      <c r="M63" s="51">
        <f>'Fixed inputs'!M145</f>
        <v>0</v>
      </c>
      <c r="N63" s="51">
        <f>'Fixed inputs'!N145</f>
        <v>0</v>
      </c>
      <c r="O63" s="51">
        <f>'Fixed inputs'!O145</f>
        <v>0</v>
      </c>
      <c r="P63" s="51">
        <f>'Fixed inputs'!P145</f>
        <v>0</v>
      </c>
      <c r="Q63" s="51">
        <f>'Fixed inputs'!Q145</f>
        <v>0</v>
      </c>
      <c r="R63" s="51">
        <f>'Fixed inputs'!R145</f>
        <v>0</v>
      </c>
      <c r="S63" s="51">
        <f>'Fixed inputs'!S145</f>
        <v>0</v>
      </c>
      <c r="T63" s="51">
        <f>'Fixed inputs'!T145</f>
        <v>0</v>
      </c>
      <c r="U63" s="51">
        <f>'Fixed inputs'!U145</f>
        <v>0</v>
      </c>
      <c r="V63" s="51">
        <f>'Fixed inputs'!V145</f>
        <v>0</v>
      </c>
      <c r="W63" s="51">
        <f>'Fixed inputs'!W145</f>
        <v>0</v>
      </c>
      <c r="X63" s="51">
        <f>'Fixed inputs'!X145</f>
        <v>0</v>
      </c>
      <c r="Y63" s="51">
        <f>'Fixed inputs'!Y145</f>
        <v>0</v>
      </c>
      <c r="AA63" t="s">
        <v>726</v>
      </c>
    </row>
    <row r="65" spans="2:27" x14ac:dyDescent="0.25">
      <c r="B65" s="30" t="s">
        <v>727</v>
      </c>
      <c r="C65" s="30"/>
      <c r="D65" s="30"/>
      <c r="E65" s="30"/>
      <c r="F65" s="30"/>
      <c r="G65" s="30"/>
      <c r="H65" s="30"/>
      <c r="I65" s="30"/>
      <c r="J65" s="30"/>
      <c r="K65" s="30"/>
      <c r="L65" s="30"/>
      <c r="M65" s="30"/>
      <c r="N65" s="30"/>
      <c r="O65" s="30"/>
      <c r="P65" s="30"/>
      <c r="Q65" s="30"/>
      <c r="R65" s="30"/>
      <c r="S65" s="30"/>
      <c r="T65" s="30"/>
      <c r="U65" s="30"/>
      <c r="V65" s="30"/>
      <c r="W65" s="30"/>
      <c r="X65" s="30"/>
      <c r="Y65" s="30"/>
      <c r="Z65" s="30"/>
      <c r="AA65" s="30"/>
    </row>
    <row r="66" spans="2:27" x14ac:dyDescent="0.25">
      <c r="J66" s="89"/>
      <c r="K66" s="89"/>
      <c r="L66" s="89"/>
      <c r="M66" s="89"/>
      <c r="N66" s="89"/>
      <c r="O66" s="89"/>
      <c r="P66" s="89"/>
      <c r="Q66" s="89"/>
      <c r="R66" s="89"/>
      <c r="S66" s="89"/>
      <c r="T66" s="89"/>
      <c r="U66" s="89"/>
      <c r="V66" s="89"/>
      <c r="W66" s="89"/>
      <c r="X66" s="89"/>
      <c r="Y66" s="89"/>
    </row>
    <row r="67" spans="2:27" x14ac:dyDescent="0.25">
      <c r="C67" s="31" t="str">
        <f ca="1">INDEX('Version control'!$H$34:$H$57,MATCH($A$1,'Version control'!$F$34:$F$57,0),1)&amp;"-E: Revenue allocated to fixed charges"</f>
        <v>Section 114-E: Revenue allocated to fixed charges</v>
      </c>
      <c r="D67" s="31"/>
      <c r="E67" s="31"/>
      <c r="F67" s="31"/>
      <c r="G67" s="31"/>
      <c r="H67" s="31"/>
      <c r="I67" s="31"/>
      <c r="J67" s="90"/>
      <c r="K67" s="90"/>
      <c r="L67" s="90"/>
      <c r="M67" s="90"/>
      <c r="N67" s="90"/>
      <c r="O67" s="90"/>
      <c r="P67" s="90"/>
      <c r="Q67" s="90"/>
      <c r="R67" s="90"/>
      <c r="S67" s="90"/>
      <c r="T67" s="90"/>
      <c r="U67" s="90"/>
      <c r="V67" s="90"/>
      <c r="W67" s="90"/>
      <c r="X67" s="90"/>
      <c r="Y67" s="90"/>
      <c r="Z67" s="31"/>
      <c r="AA67" s="31"/>
    </row>
    <row r="68" spans="2:27" x14ac:dyDescent="0.25">
      <c r="D68"/>
      <c r="E68" s="32"/>
      <c r="I68" t="s">
        <v>154</v>
      </c>
      <c r="J68" s="89"/>
      <c r="K68" s="89"/>
      <c r="L68" s="89"/>
      <c r="M68" s="89"/>
      <c r="N68" s="89"/>
      <c r="O68" s="89"/>
      <c r="P68" s="89"/>
      <c r="Q68" s="89"/>
      <c r="R68" s="89"/>
      <c r="S68" s="89"/>
      <c r="T68" s="89"/>
      <c r="U68" s="89"/>
      <c r="V68" s="89"/>
      <c r="W68" s="89"/>
      <c r="X68" s="89"/>
      <c r="Y68" s="89"/>
      <c r="AA68" t="s">
        <v>726</v>
      </c>
    </row>
    <row r="69" spans="2:27" x14ac:dyDescent="0.25">
      <c r="C69" s="88"/>
      <c r="D69"/>
      <c r="E69" s="32" t="s">
        <v>621</v>
      </c>
      <c r="J69" s="89"/>
      <c r="K69" s="89"/>
      <c r="L69" s="89"/>
      <c r="M69" s="89"/>
      <c r="N69" s="89"/>
      <c r="O69" s="89"/>
      <c r="P69" s="89"/>
      <c r="Q69" s="89"/>
      <c r="R69" s="89"/>
      <c r="S69" s="89"/>
      <c r="T69" s="89"/>
      <c r="U69" s="89"/>
      <c r="V69" s="89"/>
      <c r="W69" s="89"/>
      <c r="X69" s="89"/>
      <c r="Y69" s="89"/>
    </row>
    <row r="70" spans="2:27" x14ac:dyDescent="0.25">
      <c r="C70" s="88"/>
      <c r="D70"/>
      <c r="E70" s="29"/>
      <c r="F70" s="23" t="s">
        <v>189</v>
      </c>
      <c r="G70" s="23" t="s">
        <v>728</v>
      </c>
      <c r="H70" s="23"/>
      <c r="I70" s="23"/>
      <c r="J70" s="83"/>
      <c r="K70" s="83"/>
      <c r="L70" s="83"/>
      <c r="M70" s="83"/>
      <c r="N70" s="83"/>
      <c r="O70" s="83"/>
      <c r="P70" s="83"/>
      <c r="Q70" s="83"/>
      <c r="R70" s="83"/>
      <c r="S70" s="83"/>
      <c r="T70" s="83"/>
      <c r="U70" s="83"/>
      <c r="V70" s="83"/>
      <c r="W70" s="83"/>
      <c r="X70" s="83"/>
      <c r="Y70" s="83"/>
    </row>
    <row r="71" spans="2:27" x14ac:dyDescent="0.25">
      <c r="C71" s="88"/>
      <c r="D71"/>
      <c r="E71" s="29"/>
      <c r="F71" t="s">
        <v>191</v>
      </c>
      <c r="G71" t="s">
        <v>728</v>
      </c>
      <c r="J71" s="79"/>
      <c r="K71" s="79"/>
      <c r="L71" s="79"/>
      <c r="M71" s="79"/>
      <c r="N71" s="79"/>
      <c r="O71" s="79"/>
      <c r="P71" s="79"/>
      <c r="Q71" s="79"/>
      <c r="R71" s="79"/>
      <c r="S71" s="79"/>
      <c r="T71" s="79"/>
      <c r="U71" s="79"/>
      <c r="V71" s="79"/>
      <c r="W71" s="79"/>
      <c r="X71" s="79"/>
      <c r="Y71" s="79"/>
    </row>
    <row r="72" spans="2:27" x14ac:dyDescent="0.25">
      <c r="C72" s="88"/>
      <c r="D72"/>
      <c r="E72" s="29"/>
      <c r="F72" t="s">
        <v>192</v>
      </c>
      <c r="G72" t="s">
        <v>728</v>
      </c>
      <c r="J72" s="98">
        <f t="shared" ref="J72:K72" si="0">J$20 * J27 * thousand / PowerFactor</f>
        <v>0</v>
      </c>
      <c r="K72" s="98">
        <f t="shared" si="0"/>
        <v>0</v>
      </c>
      <c r="L72" s="98">
        <f t="shared" ref="L72:M72" si="1">L$20 * L27 * thousand / PowerFactor</f>
        <v>0</v>
      </c>
      <c r="M72" s="98">
        <f t="shared" si="1"/>
        <v>0</v>
      </c>
      <c r="N72" s="98">
        <f t="shared" ref="N72:P72" si="2">N$20 * N27 * thousand / PowerFactor</f>
        <v>0</v>
      </c>
      <c r="O72" s="98">
        <f t="shared" si="2"/>
        <v>0</v>
      </c>
      <c r="P72" s="98">
        <f t="shared" si="2"/>
        <v>0</v>
      </c>
      <c r="Q72" s="98">
        <f t="shared" ref="Q72:S72" si="3">Q$20 * Q27 * thousand / PowerFactor</f>
        <v>0</v>
      </c>
      <c r="R72" s="98">
        <f t="shared" si="3"/>
        <v>0</v>
      </c>
      <c r="S72" s="98">
        <f t="shared" si="3"/>
        <v>0</v>
      </c>
      <c r="T72" s="98">
        <f t="shared" ref="T72:U72" si="4">T$20 * T27 * thousand / PowerFactor</f>
        <v>0</v>
      </c>
      <c r="U72" s="98">
        <f t="shared" si="4"/>
        <v>0</v>
      </c>
      <c r="V72" s="98">
        <f t="shared" ref="V72:W72" si="5">V$20 * V27 * thousand / PowerFactor</f>
        <v>0</v>
      </c>
      <c r="W72" s="98">
        <f t="shared" si="5"/>
        <v>0</v>
      </c>
      <c r="X72" s="98">
        <f t="shared" ref="X72:Y72" si="6">X$20 * X27 * thousand / PowerFactor</f>
        <v>0</v>
      </c>
      <c r="Y72" s="98">
        <f t="shared" si="6"/>
        <v>0</v>
      </c>
    </row>
    <row r="73" spans="2:27" x14ac:dyDescent="0.25">
      <c r="C73" s="88"/>
      <c r="D73"/>
      <c r="E73" s="29"/>
      <c r="F73" t="s">
        <v>193</v>
      </c>
      <c r="G73" t="s">
        <v>728</v>
      </c>
      <c r="J73" s="98">
        <f t="shared" ref="J73:K73" si="7">J$20 * J28 * thousand / PowerFactor</f>
        <v>0</v>
      </c>
      <c r="K73" s="98">
        <f t="shared" si="7"/>
        <v>0</v>
      </c>
      <c r="L73" s="98">
        <f t="shared" ref="L73:M73" si="8">L$20 * L28 * thousand / PowerFactor</f>
        <v>0</v>
      </c>
      <c r="M73" s="98">
        <f t="shared" si="8"/>
        <v>0</v>
      </c>
      <c r="N73" s="98">
        <f t="shared" ref="N73:P73" si="9">N$20 * N28 * thousand / PowerFactor</f>
        <v>0</v>
      </c>
      <c r="O73" s="98">
        <f t="shared" si="9"/>
        <v>0</v>
      </c>
      <c r="P73" s="98">
        <f t="shared" si="9"/>
        <v>0</v>
      </c>
      <c r="Q73" s="98">
        <f t="shared" ref="Q73:S73" si="10">Q$20 * Q28 * thousand / PowerFactor</f>
        <v>0</v>
      </c>
      <c r="R73" s="98">
        <f t="shared" si="10"/>
        <v>0</v>
      </c>
      <c r="S73" s="98">
        <f t="shared" si="10"/>
        <v>0</v>
      </c>
      <c r="T73" s="98">
        <f t="shared" ref="T73:U73" si="11">T$20 * T28 * thousand / PowerFactor</f>
        <v>0</v>
      </c>
      <c r="U73" s="98">
        <f t="shared" si="11"/>
        <v>0</v>
      </c>
      <c r="V73" s="98">
        <f t="shared" ref="V73:W73" si="12">V$20 * V28 * thousand / PowerFactor</f>
        <v>0</v>
      </c>
      <c r="W73" s="98">
        <f t="shared" si="12"/>
        <v>0</v>
      </c>
      <c r="X73" s="98">
        <f t="shared" ref="X73:Y73" si="13">X$20 * X28 * thousand / PowerFactor</f>
        <v>0</v>
      </c>
      <c r="Y73" s="98">
        <f t="shared" si="13"/>
        <v>0</v>
      </c>
    </row>
    <row r="74" spans="2:27" x14ac:dyDescent="0.25">
      <c r="C74" s="88"/>
      <c r="D74"/>
      <c r="E74" s="29"/>
      <c r="F74" t="s">
        <v>194</v>
      </c>
      <c r="G74" t="s">
        <v>728</v>
      </c>
      <c r="J74" s="98">
        <f t="shared" ref="J74:K74" si="14">J$20 * J29 * thousand / PowerFactor</f>
        <v>0</v>
      </c>
      <c r="K74" s="98">
        <f t="shared" si="14"/>
        <v>0</v>
      </c>
      <c r="L74" s="98">
        <f t="shared" ref="L74:M74" si="15">L$20 * L29 * thousand / PowerFactor</f>
        <v>0</v>
      </c>
      <c r="M74" s="98">
        <f t="shared" si="15"/>
        <v>0</v>
      </c>
      <c r="N74" s="98">
        <f t="shared" ref="N74:P74" si="16">N$20 * N29 * thousand / PowerFactor</f>
        <v>0</v>
      </c>
      <c r="O74" s="98">
        <f t="shared" si="16"/>
        <v>0</v>
      </c>
      <c r="P74" s="98">
        <f t="shared" si="16"/>
        <v>0</v>
      </c>
      <c r="Q74" s="98">
        <f t="shared" ref="Q74:S74" si="17">Q$20 * Q29 * thousand / PowerFactor</f>
        <v>0</v>
      </c>
      <c r="R74" s="98">
        <f t="shared" si="17"/>
        <v>0</v>
      </c>
      <c r="S74" s="98">
        <f t="shared" si="17"/>
        <v>0</v>
      </c>
      <c r="T74" s="98">
        <f t="shared" ref="T74:U74" si="18">T$20 * T29 * thousand / PowerFactor</f>
        <v>0</v>
      </c>
      <c r="U74" s="98">
        <f t="shared" si="18"/>
        <v>0</v>
      </c>
      <c r="V74" s="98">
        <f t="shared" ref="V74:W74" si="19">V$20 * V29 * thousand / PowerFactor</f>
        <v>0</v>
      </c>
      <c r="W74" s="98">
        <f t="shared" si="19"/>
        <v>0</v>
      </c>
      <c r="X74" s="98">
        <f t="shared" ref="X74:Y74" si="20">X$20 * X29 * thousand / PowerFactor</f>
        <v>0</v>
      </c>
      <c r="Y74" s="98">
        <f t="shared" si="20"/>
        <v>0</v>
      </c>
    </row>
    <row r="75" spans="2:27" x14ac:dyDescent="0.25">
      <c r="C75" s="88"/>
      <c r="D75"/>
      <c r="E75" s="29"/>
      <c r="F75" t="s">
        <v>195</v>
      </c>
      <c r="G75" t="s">
        <v>728</v>
      </c>
      <c r="J75" s="98">
        <f t="shared" ref="J75:K75" si="21">J$20 * J30 * thousand / PowerFactor</f>
        <v>0</v>
      </c>
      <c r="K75" s="98">
        <f t="shared" si="21"/>
        <v>0</v>
      </c>
      <c r="L75" s="98">
        <f t="shared" ref="L75:M75" si="22">L$20 * L30 * thousand / PowerFactor</f>
        <v>0</v>
      </c>
      <c r="M75" s="98">
        <f t="shared" si="22"/>
        <v>0</v>
      </c>
      <c r="N75" s="98">
        <f t="shared" ref="N75:P75" si="23">N$20 * N30 * thousand / PowerFactor</f>
        <v>0</v>
      </c>
      <c r="O75" s="98">
        <f t="shared" si="23"/>
        <v>0</v>
      </c>
      <c r="P75" s="98">
        <f t="shared" si="23"/>
        <v>0</v>
      </c>
      <c r="Q75" s="98">
        <f t="shared" ref="Q75:S75" si="24">Q$20 * Q30 * thousand / PowerFactor</f>
        <v>0</v>
      </c>
      <c r="R75" s="98">
        <f t="shared" si="24"/>
        <v>0</v>
      </c>
      <c r="S75" s="98">
        <f t="shared" si="24"/>
        <v>0</v>
      </c>
      <c r="T75" s="98">
        <f t="shared" ref="T75:U75" si="25">T$20 * T30 * thousand / PowerFactor</f>
        <v>0</v>
      </c>
      <c r="U75" s="98">
        <f t="shared" si="25"/>
        <v>0</v>
      </c>
      <c r="V75" s="98">
        <f t="shared" ref="V75:W75" si="26">V$20 * V30 * thousand / PowerFactor</f>
        <v>0</v>
      </c>
      <c r="W75" s="98">
        <f t="shared" si="26"/>
        <v>0</v>
      </c>
      <c r="X75" s="98">
        <f t="shared" ref="X75:Y75" si="27">X$20 * X30 * thousand / PowerFactor</f>
        <v>0</v>
      </c>
      <c r="Y75" s="98">
        <f t="shared" si="27"/>
        <v>0</v>
      </c>
    </row>
    <row r="76" spans="2:27" x14ac:dyDescent="0.25">
      <c r="C76" s="88"/>
      <c r="D76"/>
      <c r="E76" s="29"/>
      <c r="F76" t="s">
        <v>196</v>
      </c>
      <c r="G76" t="s">
        <v>728</v>
      </c>
      <c r="J76" s="98">
        <f t="shared" ref="J76:K76" si="28">J$20 * J31 * thousand / PowerFactor</f>
        <v>0</v>
      </c>
      <c r="K76" s="98">
        <f t="shared" si="28"/>
        <v>0</v>
      </c>
      <c r="L76" s="98">
        <f t="shared" ref="L76:M76" si="29">L$20 * L31 * thousand / PowerFactor</f>
        <v>0</v>
      </c>
      <c r="M76" s="98">
        <f t="shared" si="29"/>
        <v>0</v>
      </c>
      <c r="N76" s="98">
        <f t="shared" ref="N76:P76" si="30">N$20 * N31 * thousand / PowerFactor</f>
        <v>0</v>
      </c>
      <c r="O76" s="98">
        <f t="shared" si="30"/>
        <v>0</v>
      </c>
      <c r="P76" s="98">
        <f t="shared" si="30"/>
        <v>0</v>
      </c>
      <c r="Q76" s="98">
        <f t="shared" ref="Q76:S76" si="31">Q$20 * Q31 * thousand / PowerFactor</f>
        <v>0</v>
      </c>
      <c r="R76" s="98">
        <f t="shared" si="31"/>
        <v>0</v>
      </c>
      <c r="S76" s="98">
        <f t="shared" si="31"/>
        <v>0</v>
      </c>
      <c r="T76" s="98">
        <f t="shared" ref="T76:U76" si="32">T$20 * T31 * thousand / PowerFactor</f>
        <v>0</v>
      </c>
      <c r="U76" s="98">
        <f t="shared" si="32"/>
        <v>0</v>
      </c>
      <c r="V76" s="98">
        <f t="shared" ref="V76:W76" si="33">V$20 * V31 * thousand / PowerFactor</f>
        <v>0</v>
      </c>
      <c r="W76" s="98">
        <f t="shared" si="33"/>
        <v>0</v>
      </c>
      <c r="X76" s="98">
        <f t="shared" ref="X76:Y76" si="34">X$20 * X31 * thousand / PowerFactor</f>
        <v>0</v>
      </c>
      <c r="Y76" s="98">
        <f t="shared" si="34"/>
        <v>0</v>
      </c>
    </row>
    <row r="77" spans="2:27" x14ac:dyDescent="0.25">
      <c r="C77" s="88"/>
      <c r="D77"/>
      <c r="E77" s="29"/>
      <c r="F77" t="s">
        <v>197</v>
      </c>
      <c r="G77" t="s">
        <v>728</v>
      </c>
      <c r="J77" s="98">
        <f t="shared" ref="J77:K77" si="35">J$20 * J32 * thousand / PowerFactor</f>
        <v>0</v>
      </c>
      <c r="K77" s="98">
        <f t="shared" si="35"/>
        <v>0</v>
      </c>
      <c r="L77" s="98">
        <f t="shared" ref="L77:M77" si="36">L$20 * L32 * thousand / PowerFactor</f>
        <v>0</v>
      </c>
      <c r="M77" s="98">
        <f t="shared" si="36"/>
        <v>0</v>
      </c>
      <c r="N77" s="98">
        <f t="shared" ref="N77:P77" si="37">N$20 * N32 * thousand / PowerFactor</f>
        <v>0</v>
      </c>
      <c r="O77" s="98">
        <f t="shared" si="37"/>
        <v>0</v>
      </c>
      <c r="P77" s="98">
        <f t="shared" si="37"/>
        <v>0</v>
      </c>
      <c r="Q77" s="98">
        <f t="shared" ref="Q77:S77" si="38">Q$20 * Q32 * thousand / PowerFactor</f>
        <v>0</v>
      </c>
      <c r="R77" s="98">
        <f t="shared" si="38"/>
        <v>0</v>
      </c>
      <c r="S77" s="98">
        <f t="shared" si="38"/>
        <v>0</v>
      </c>
      <c r="T77" s="98">
        <f t="shared" ref="T77:U77" si="39">T$20 * T32 * thousand / PowerFactor</f>
        <v>0</v>
      </c>
      <c r="U77" s="98">
        <f t="shared" si="39"/>
        <v>0</v>
      </c>
      <c r="V77" s="98">
        <f t="shared" ref="V77:W77" si="40">V$20 * V32 * thousand / PowerFactor</f>
        <v>0</v>
      </c>
      <c r="W77" s="98">
        <f t="shared" si="40"/>
        <v>0</v>
      </c>
      <c r="X77" s="98">
        <f t="shared" ref="X77:Y77" si="41">X$20 * X32 * thousand / PowerFactor</f>
        <v>0</v>
      </c>
      <c r="Y77" s="98">
        <f t="shared" si="41"/>
        <v>0</v>
      </c>
    </row>
    <row r="78" spans="2:27" x14ac:dyDescent="0.25">
      <c r="C78" s="88"/>
      <c r="D78"/>
      <c r="E78" s="29"/>
      <c r="F78" t="s">
        <v>198</v>
      </c>
      <c r="G78" t="s">
        <v>728</v>
      </c>
      <c r="J78" s="98">
        <f t="shared" ref="J78:K78" si="42">J$20 * J33 * thousand / PowerFactor</f>
        <v>0</v>
      </c>
      <c r="K78" s="98">
        <f t="shared" si="42"/>
        <v>0</v>
      </c>
      <c r="L78" s="98">
        <f t="shared" ref="L78:M78" si="43">L$20 * L33 * thousand / PowerFactor</f>
        <v>0</v>
      </c>
      <c r="M78" s="98">
        <f t="shared" si="43"/>
        <v>0</v>
      </c>
      <c r="N78" s="98">
        <f t="shared" ref="N78:P78" si="44">N$20 * N33 * thousand / PowerFactor</f>
        <v>0</v>
      </c>
      <c r="O78" s="98">
        <f t="shared" si="44"/>
        <v>0</v>
      </c>
      <c r="P78" s="98">
        <f t="shared" si="44"/>
        <v>0</v>
      </c>
      <c r="Q78" s="98">
        <f t="shared" ref="Q78:S78" si="45">Q$20 * Q33 * thousand / PowerFactor</f>
        <v>0</v>
      </c>
      <c r="R78" s="98">
        <f t="shared" si="45"/>
        <v>0</v>
      </c>
      <c r="S78" s="98">
        <f t="shared" si="45"/>
        <v>0</v>
      </c>
      <c r="T78" s="98">
        <f t="shared" ref="T78:U78" si="46">T$20 * T33 * thousand / PowerFactor</f>
        <v>0</v>
      </c>
      <c r="U78" s="98">
        <f t="shared" si="46"/>
        <v>0</v>
      </c>
      <c r="V78" s="98">
        <f t="shared" ref="V78:W78" si="47">V$20 * V33 * thousand / PowerFactor</f>
        <v>0</v>
      </c>
      <c r="W78" s="98">
        <f t="shared" si="47"/>
        <v>0</v>
      </c>
      <c r="X78" s="98">
        <f t="shared" ref="X78:Y78" si="48">X$20 * X33 * thousand / PowerFactor</f>
        <v>0</v>
      </c>
      <c r="Y78" s="98">
        <f t="shared" si="48"/>
        <v>0</v>
      </c>
    </row>
    <row r="79" spans="2:27" x14ac:dyDescent="0.25">
      <c r="C79" s="88"/>
      <c r="D79"/>
      <c r="E79" s="29"/>
      <c r="F79" t="s">
        <v>199</v>
      </c>
      <c r="G79" t="s">
        <v>728</v>
      </c>
      <c r="J79" s="98">
        <f t="shared" ref="J79:K79" si="49">J$20 * J34 * thousand / PowerFactor</f>
        <v>294086.24159623764</v>
      </c>
      <c r="K79" s="98">
        <f t="shared" si="49"/>
        <v>0</v>
      </c>
      <c r="L79" s="98">
        <f t="shared" ref="L79:M79" si="50">L$20 * L34 * thousand / PowerFactor</f>
        <v>106289.24624074076</v>
      </c>
      <c r="M79" s="98">
        <f t="shared" si="50"/>
        <v>0</v>
      </c>
      <c r="N79" s="98">
        <f t="shared" ref="N79:P79" si="51">N$20 * N34 * thousand / PowerFactor</f>
        <v>0</v>
      </c>
      <c r="O79" s="98">
        <f t="shared" si="51"/>
        <v>0</v>
      </c>
      <c r="P79" s="98">
        <f t="shared" si="51"/>
        <v>0</v>
      </c>
      <c r="Q79" s="98">
        <f t="shared" ref="Q79:S79" si="52">Q$20 * Q34 * thousand / PowerFactor</f>
        <v>0</v>
      </c>
      <c r="R79" s="98">
        <f t="shared" si="52"/>
        <v>0</v>
      </c>
      <c r="S79" s="98">
        <f t="shared" si="52"/>
        <v>0</v>
      </c>
      <c r="T79" s="98">
        <f t="shared" ref="T79:U79" si="53">T$20 * T34 * thousand / PowerFactor</f>
        <v>0</v>
      </c>
      <c r="U79" s="98">
        <f t="shared" si="53"/>
        <v>0</v>
      </c>
      <c r="V79" s="98">
        <f t="shared" ref="V79:W79" si="54">V$20 * V34 * thousand / PowerFactor</f>
        <v>0</v>
      </c>
      <c r="W79" s="98">
        <f t="shared" si="54"/>
        <v>0</v>
      </c>
      <c r="X79" s="98">
        <f t="shared" ref="X79:Y79" si="55">X$20 * X34 * thousand / PowerFactor</f>
        <v>0</v>
      </c>
      <c r="Y79" s="98">
        <f t="shared" si="55"/>
        <v>0</v>
      </c>
    </row>
    <row r="80" spans="2:27" x14ac:dyDescent="0.25">
      <c r="C80" s="88"/>
      <c r="D80"/>
      <c r="E80" s="29"/>
      <c r="F80" t="s">
        <v>376</v>
      </c>
      <c r="G80" t="s">
        <v>728</v>
      </c>
      <c r="J80" s="79"/>
      <c r="K80" s="79"/>
      <c r="L80" s="79"/>
      <c r="M80" s="79"/>
      <c r="N80" s="79"/>
      <c r="O80" s="79"/>
      <c r="P80" s="79"/>
      <c r="Q80" s="79"/>
      <c r="R80" s="79"/>
      <c r="S80" s="79"/>
      <c r="T80" s="79"/>
      <c r="U80" s="79"/>
      <c r="V80" s="79"/>
      <c r="W80" s="79"/>
      <c r="X80" s="79"/>
      <c r="Y80" s="79"/>
    </row>
    <row r="81" spans="3:25" x14ac:dyDescent="0.25">
      <c r="C81" s="88"/>
      <c r="D81"/>
      <c r="E81" s="29"/>
      <c r="F81" s="37" t="s">
        <v>377</v>
      </c>
      <c r="G81" s="37" t="s">
        <v>728</v>
      </c>
      <c r="H81" s="37"/>
      <c r="I81" s="37"/>
      <c r="J81" s="81"/>
      <c r="K81" s="81"/>
      <c r="L81" s="81"/>
      <c r="M81" s="81"/>
      <c r="N81" s="81"/>
      <c r="O81" s="81"/>
      <c r="P81" s="81"/>
      <c r="Q81" s="81"/>
      <c r="R81" s="81"/>
      <c r="S81" s="81"/>
      <c r="T81" s="81"/>
      <c r="U81" s="81"/>
      <c r="V81" s="81"/>
      <c r="W81" s="81"/>
      <c r="X81" s="81"/>
      <c r="Y81" s="81"/>
    </row>
    <row r="82" spans="3:25" x14ac:dyDescent="0.25">
      <c r="C82" s="88"/>
      <c r="D82"/>
      <c r="E82" s="29"/>
      <c r="J82" s="89"/>
      <c r="K82" s="89"/>
      <c r="L82" s="89"/>
      <c r="M82" s="89"/>
      <c r="N82" s="89"/>
      <c r="O82" s="89"/>
      <c r="P82" s="89"/>
      <c r="Q82" s="89"/>
      <c r="R82" s="89"/>
      <c r="S82" s="89"/>
      <c r="T82" s="89"/>
      <c r="U82" s="89"/>
      <c r="V82" s="89"/>
      <c r="W82" s="89"/>
      <c r="X82" s="89"/>
      <c r="Y82" s="89"/>
    </row>
    <row r="83" spans="3:25" x14ac:dyDescent="0.25">
      <c r="C83" s="88"/>
      <c r="D83"/>
      <c r="E83" s="32" t="s">
        <v>622</v>
      </c>
      <c r="J83" s="89"/>
      <c r="K83" s="89"/>
      <c r="L83" s="89"/>
      <c r="M83" s="89"/>
      <c r="N83" s="89"/>
      <c r="O83" s="89"/>
      <c r="P83" s="89"/>
      <c r="Q83" s="89"/>
      <c r="R83" s="89"/>
      <c r="S83" s="89"/>
      <c r="T83" s="89"/>
      <c r="U83" s="89"/>
      <c r="V83" s="89"/>
      <c r="W83" s="89"/>
      <c r="X83" s="89"/>
      <c r="Y83" s="89"/>
    </row>
    <row r="84" spans="3:25" x14ac:dyDescent="0.25">
      <c r="C84" s="88"/>
      <c r="D84"/>
      <c r="F84" s="23" t="s">
        <v>189</v>
      </c>
      <c r="G84" s="23" t="s">
        <v>728</v>
      </c>
      <c r="H84" s="23"/>
      <c r="I84" s="23"/>
      <c r="J84" s="126">
        <f t="shared" ref="J84:K84" si="56">J$20 * J39 * thousand / PowerFactor</f>
        <v>0</v>
      </c>
      <c r="K84" s="126">
        <f t="shared" si="56"/>
        <v>0</v>
      </c>
      <c r="L84" s="126">
        <f t="shared" ref="L84:M84" si="57">L$20 * L39 * thousand / PowerFactor</f>
        <v>0</v>
      </c>
      <c r="M84" s="126">
        <f t="shared" si="57"/>
        <v>0</v>
      </c>
      <c r="N84" s="126">
        <f t="shared" ref="N84:P84" si="58">N$20 * N39 * thousand / PowerFactor</f>
        <v>0</v>
      </c>
      <c r="O84" s="126">
        <f t="shared" si="58"/>
        <v>0</v>
      </c>
      <c r="P84" s="126">
        <f t="shared" si="58"/>
        <v>0</v>
      </c>
      <c r="Q84" s="126">
        <f t="shared" ref="Q84:S84" si="59">Q$20 * Q39 * thousand / PowerFactor</f>
        <v>0</v>
      </c>
      <c r="R84" s="126">
        <f t="shared" si="59"/>
        <v>0</v>
      </c>
      <c r="S84" s="126">
        <f t="shared" si="59"/>
        <v>0</v>
      </c>
      <c r="T84" s="126">
        <f t="shared" ref="T84:U84" si="60">T$20 * T39 * thousand / PowerFactor</f>
        <v>0</v>
      </c>
      <c r="U84" s="126">
        <f t="shared" si="60"/>
        <v>0</v>
      </c>
      <c r="V84" s="126">
        <f t="shared" ref="V84:W84" si="61">V$20 * V39 * thousand / PowerFactor</f>
        <v>0</v>
      </c>
      <c r="W84" s="126">
        <f t="shared" si="61"/>
        <v>0</v>
      </c>
      <c r="X84" s="126">
        <f t="shared" ref="X84:Y84" si="62">X$20 * X39 * thousand / PowerFactor</f>
        <v>0</v>
      </c>
      <c r="Y84" s="126">
        <f t="shared" si="62"/>
        <v>0</v>
      </c>
    </row>
    <row r="85" spans="3:25" x14ac:dyDescent="0.25">
      <c r="C85" s="88"/>
      <c r="D85"/>
      <c r="F85" t="s">
        <v>191</v>
      </c>
      <c r="G85" t="s">
        <v>728</v>
      </c>
      <c r="J85" s="98">
        <f t="shared" ref="J85:K85" si="63">J$20 * J40 * thousand / PowerFactor</f>
        <v>0</v>
      </c>
      <c r="K85" s="98">
        <f t="shared" si="63"/>
        <v>0</v>
      </c>
      <c r="L85" s="98">
        <f t="shared" ref="L85:M85" si="64">L$20 * L40 * thousand / PowerFactor</f>
        <v>0</v>
      </c>
      <c r="M85" s="98">
        <f t="shared" si="64"/>
        <v>0</v>
      </c>
      <c r="N85" s="98">
        <f t="shared" ref="N85:P85" si="65">N$20 * N40 * thousand / PowerFactor</f>
        <v>0</v>
      </c>
      <c r="O85" s="98">
        <f t="shared" si="65"/>
        <v>0</v>
      </c>
      <c r="P85" s="98">
        <f t="shared" si="65"/>
        <v>0</v>
      </c>
      <c r="Q85" s="98">
        <f t="shared" ref="Q85:S85" si="66">Q$20 * Q40 * thousand / PowerFactor</f>
        <v>0</v>
      </c>
      <c r="R85" s="98">
        <f t="shared" si="66"/>
        <v>0</v>
      </c>
      <c r="S85" s="98">
        <f t="shared" si="66"/>
        <v>0</v>
      </c>
      <c r="T85" s="98">
        <f t="shared" ref="T85:U85" si="67">T$20 * T40 * thousand / PowerFactor</f>
        <v>0</v>
      </c>
      <c r="U85" s="98">
        <f t="shared" si="67"/>
        <v>0</v>
      </c>
      <c r="V85" s="98">
        <f t="shared" ref="V85:W85" si="68">V$20 * V40 * thousand / PowerFactor</f>
        <v>0</v>
      </c>
      <c r="W85" s="98">
        <f t="shared" si="68"/>
        <v>0</v>
      </c>
      <c r="X85" s="98">
        <f t="shared" ref="X85:Y85" si="69">X$20 * X40 * thousand / PowerFactor</f>
        <v>0</v>
      </c>
      <c r="Y85" s="98">
        <f t="shared" si="69"/>
        <v>0</v>
      </c>
    </row>
    <row r="86" spans="3:25" x14ac:dyDescent="0.25">
      <c r="C86" s="88"/>
      <c r="D86"/>
      <c r="F86" t="s">
        <v>192</v>
      </c>
      <c r="G86" t="s">
        <v>728</v>
      </c>
      <c r="J86" s="98">
        <f t="shared" ref="J86:K86" si="70">J$20 * J41 * thousand / PowerFactor</f>
        <v>0</v>
      </c>
      <c r="K86" s="98">
        <f t="shared" si="70"/>
        <v>0</v>
      </c>
      <c r="L86" s="98">
        <f t="shared" ref="L86:M86" si="71">L$20 * L41 * thousand / PowerFactor</f>
        <v>0</v>
      </c>
      <c r="M86" s="98">
        <f t="shared" si="71"/>
        <v>0</v>
      </c>
      <c r="N86" s="98">
        <f t="shared" ref="N86:P86" si="72">N$20 * N41 * thousand / PowerFactor</f>
        <v>0</v>
      </c>
      <c r="O86" s="98">
        <f t="shared" si="72"/>
        <v>0</v>
      </c>
      <c r="P86" s="98">
        <f t="shared" si="72"/>
        <v>0</v>
      </c>
      <c r="Q86" s="98">
        <f t="shared" ref="Q86:S86" si="73">Q$20 * Q41 * thousand / PowerFactor</f>
        <v>0</v>
      </c>
      <c r="R86" s="98">
        <f t="shared" si="73"/>
        <v>0</v>
      </c>
      <c r="S86" s="98">
        <f t="shared" si="73"/>
        <v>0</v>
      </c>
      <c r="T86" s="98">
        <f t="shared" ref="T86:U86" si="74">T$20 * T41 * thousand / PowerFactor</f>
        <v>0</v>
      </c>
      <c r="U86" s="98">
        <f t="shared" si="74"/>
        <v>0</v>
      </c>
      <c r="V86" s="98">
        <f t="shared" ref="V86:W86" si="75">V$20 * V41 * thousand / PowerFactor</f>
        <v>0</v>
      </c>
      <c r="W86" s="98">
        <f t="shared" si="75"/>
        <v>0</v>
      </c>
      <c r="X86" s="98">
        <f t="shared" ref="X86:Y86" si="76">X$20 * X41 * thousand / PowerFactor</f>
        <v>0</v>
      </c>
      <c r="Y86" s="98">
        <f t="shared" si="76"/>
        <v>0</v>
      </c>
    </row>
    <row r="87" spans="3:25" x14ac:dyDescent="0.25">
      <c r="C87" s="88"/>
      <c r="D87"/>
      <c r="F87" t="s">
        <v>193</v>
      </c>
      <c r="G87" t="s">
        <v>728</v>
      </c>
      <c r="J87" s="98">
        <f t="shared" ref="J87:K87" si="77">J$20 * J42 * thousand / PowerFactor</f>
        <v>0</v>
      </c>
      <c r="K87" s="98">
        <f t="shared" si="77"/>
        <v>0</v>
      </c>
      <c r="L87" s="98">
        <f t="shared" ref="L87:M87" si="78">L$20 * L42 * thousand / PowerFactor</f>
        <v>0</v>
      </c>
      <c r="M87" s="98">
        <f t="shared" si="78"/>
        <v>0</v>
      </c>
      <c r="N87" s="98">
        <f t="shared" ref="N87:P87" si="79">N$20 * N42 * thousand / PowerFactor</f>
        <v>0</v>
      </c>
      <c r="O87" s="98">
        <f t="shared" si="79"/>
        <v>0</v>
      </c>
      <c r="P87" s="98">
        <f t="shared" si="79"/>
        <v>0</v>
      </c>
      <c r="Q87" s="98">
        <f t="shared" ref="Q87:S87" si="80">Q$20 * Q42 * thousand / PowerFactor</f>
        <v>0</v>
      </c>
      <c r="R87" s="98">
        <f t="shared" si="80"/>
        <v>0</v>
      </c>
      <c r="S87" s="98">
        <f t="shared" si="80"/>
        <v>0</v>
      </c>
      <c r="T87" s="98">
        <f t="shared" ref="T87:U87" si="81">T$20 * T42 * thousand / PowerFactor</f>
        <v>0</v>
      </c>
      <c r="U87" s="98">
        <f t="shared" si="81"/>
        <v>0</v>
      </c>
      <c r="V87" s="98">
        <f t="shared" ref="V87:W87" si="82">V$20 * V42 * thousand / PowerFactor</f>
        <v>0</v>
      </c>
      <c r="W87" s="98">
        <f t="shared" si="82"/>
        <v>0</v>
      </c>
      <c r="X87" s="98">
        <f t="shared" ref="X87:Y87" si="83">X$20 * X42 * thousand / PowerFactor</f>
        <v>0</v>
      </c>
      <c r="Y87" s="98">
        <f t="shared" si="83"/>
        <v>0</v>
      </c>
    </row>
    <row r="88" spans="3:25" x14ac:dyDescent="0.25">
      <c r="C88" s="88"/>
      <c r="D88"/>
      <c r="F88" t="s">
        <v>194</v>
      </c>
      <c r="G88" t="s">
        <v>728</v>
      </c>
      <c r="J88" s="98">
        <f t="shared" ref="J88:K88" si="84">J$20 * J43 * thousand / PowerFactor</f>
        <v>0</v>
      </c>
      <c r="K88" s="98">
        <f t="shared" si="84"/>
        <v>0</v>
      </c>
      <c r="L88" s="98">
        <f t="shared" ref="L88:M88" si="85">L$20 * L43 * thousand / PowerFactor</f>
        <v>0</v>
      </c>
      <c r="M88" s="98">
        <f t="shared" si="85"/>
        <v>0</v>
      </c>
      <c r="N88" s="98">
        <f t="shared" ref="N88:P88" si="86">N$20 * N43 * thousand / PowerFactor</f>
        <v>0</v>
      </c>
      <c r="O88" s="98">
        <f t="shared" si="86"/>
        <v>0</v>
      </c>
      <c r="P88" s="98">
        <f t="shared" si="86"/>
        <v>0</v>
      </c>
      <c r="Q88" s="98">
        <f t="shared" ref="Q88:S88" si="87">Q$20 * Q43 * thousand / PowerFactor</f>
        <v>0</v>
      </c>
      <c r="R88" s="98">
        <f t="shared" si="87"/>
        <v>0</v>
      </c>
      <c r="S88" s="98">
        <f t="shared" si="87"/>
        <v>0</v>
      </c>
      <c r="T88" s="98">
        <f t="shared" ref="T88:U88" si="88">T$20 * T43 * thousand / PowerFactor</f>
        <v>0</v>
      </c>
      <c r="U88" s="98">
        <f t="shared" si="88"/>
        <v>0</v>
      </c>
      <c r="V88" s="98">
        <f t="shared" ref="V88:W88" si="89">V$20 * V43 * thousand / PowerFactor</f>
        <v>0</v>
      </c>
      <c r="W88" s="98">
        <f t="shared" si="89"/>
        <v>0</v>
      </c>
      <c r="X88" s="98">
        <f t="shared" ref="X88:Y88" si="90">X$20 * X43 * thousand / PowerFactor</f>
        <v>0</v>
      </c>
      <c r="Y88" s="98">
        <f t="shared" si="90"/>
        <v>0</v>
      </c>
    </row>
    <row r="89" spans="3:25" x14ac:dyDescent="0.25">
      <c r="C89" s="88"/>
      <c r="D89"/>
      <c r="F89" t="s">
        <v>195</v>
      </c>
      <c r="G89" t="s">
        <v>728</v>
      </c>
      <c r="J89" s="98">
        <f t="shared" ref="J89:K89" si="91">J$20 * J44 * thousand / PowerFactor</f>
        <v>0</v>
      </c>
      <c r="K89" s="98">
        <f t="shared" si="91"/>
        <v>0</v>
      </c>
      <c r="L89" s="98">
        <f t="shared" ref="L89:M89" si="92">L$20 * L44 * thousand / PowerFactor</f>
        <v>0</v>
      </c>
      <c r="M89" s="98">
        <f t="shared" si="92"/>
        <v>0</v>
      </c>
      <c r="N89" s="98">
        <f t="shared" ref="N89:P89" si="93">N$20 * N44 * thousand / PowerFactor</f>
        <v>0</v>
      </c>
      <c r="O89" s="98">
        <f t="shared" si="93"/>
        <v>0</v>
      </c>
      <c r="P89" s="98">
        <f t="shared" si="93"/>
        <v>0</v>
      </c>
      <c r="Q89" s="98">
        <f t="shared" ref="Q89:S89" si="94">Q$20 * Q44 * thousand / PowerFactor</f>
        <v>0</v>
      </c>
      <c r="R89" s="98">
        <f t="shared" si="94"/>
        <v>0</v>
      </c>
      <c r="S89" s="98">
        <f t="shared" si="94"/>
        <v>0</v>
      </c>
      <c r="T89" s="98">
        <f t="shared" ref="T89:U89" si="95">T$20 * T44 * thousand / PowerFactor</f>
        <v>0</v>
      </c>
      <c r="U89" s="98">
        <f t="shared" si="95"/>
        <v>0</v>
      </c>
      <c r="V89" s="98">
        <f t="shared" ref="V89:W89" si="96">V$20 * V44 * thousand / PowerFactor</f>
        <v>0</v>
      </c>
      <c r="W89" s="98">
        <f t="shared" si="96"/>
        <v>0</v>
      </c>
      <c r="X89" s="98">
        <f t="shared" ref="X89:Y89" si="97">X$20 * X44 * thousand / PowerFactor</f>
        <v>0</v>
      </c>
      <c r="Y89" s="98">
        <f t="shared" si="97"/>
        <v>0</v>
      </c>
    </row>
    <row r="90" spans="3:25" x14ac:dyDescent="0.25">
      <c r="C90" s="88"/>
      <c r="D90"/>
      <c r="F90" t="s">
        <v>196</v>
      </c>
      <c r="G90" t="s">
        <v>728</v>
      </c>
      <c r="J90" s="98">
        <f t="shared" ref="J90:K90" si="98">J$20 * J45 * thousand / PowerFactor</f>
        <v>0</v>
      </c>
      <c r="K90" s="98">
        <f t="shared" si="98"/>
        <v>0</v>
      </c>
      <c r="L90" s="98">
        <f t="shared" ref="L90:M90" si="99">L$20 * L45 * thousand / PowerFactor</f>
        <v>0</v>
      </c>
      <c r="M90" s="98">
        <f t="shared" si="99"/>
        <v>0</v>
      </c>
      <c r="N90" s="98">
        <f t="shared" ref="N90:P90" si="100">N$20 * N45 * thousand / PowerFactor</f>
        <v>0</v>
      </c>
      <c r="O90" s="98">
        <f t="shared" si="100"/>
        <v>0</v>
      </c>
      <c r="P90" s="98">
        <f t="shared" si="100"/>
        <v>0</v>
      </c>
      <c r="Q90" s="98">
        <f t="shared" ref="Q90:S90" si="101">Q$20 * Q45 * thousand / PowerFactor</f>
        <v>0</v>
      </c>
      <c r="R90" s="98">
        <f t="shared" si="101"/>
        <v>0</v>
      </c>
      <c r="S90" s="98">
        <f t="shared" si="101"/>
        <v>0</v>
      </c>
      <c r="T90" s="98">
        <f t="shared" ref="T90:U90" si="102">T$20 * T45 * thousand / PowerFactor</f>
        <v>0</v>
      </c>
      <c r="U90" s="98">
        <f t="shared" si="102"/>
        <v>0</v>
      </c>
      <c r="V90" s="98">
        <f t="shared" ref="V90:W90" si="103">V$20 * V45 * thousand / PowerFactor</f>
        <v>0</v>
      </c>
      <c r="W90" s="98">
        <f t="shared" si="103"/>
        <v>0</v>
      </c>
      <c r="X90" s="98">
        <f t="shared" ref="X90:Y90" si="104">X$20 * X45 * thousand / PowerFactor</f>
        <v>0</v>
      </c>
      <c r="Y90" s="98">
        <f t="shared" si="104"/>
        <v>0</v>
      </c>
    </row>
    <row r="91" spans="3:25" x14ac:dyDescent="0.25">
      <c r="C91" s="88"/>
      <c r="D91"/>
      <c r="F91" t="s">
        <v>197</v>
      </c>
      <c r="G91" t="s">
        <v>728</v>
      </c>
      <c r="J91" s="98">
        <f t="shared" ref="J91:K91" si="105">J$20 * J46 * thousand / PowerFactor</f>
        <v>0</v>
      </c>
      <c r="K91" s="98">
        <f t="shared" si="105"/>
        <v>0</v>
      </c>
      <c r="L91" s="98">
        <f t="shared" ref="L91:M91" si="106">L$20 * L46 * thousand / PowerFactor</f>
        <v>0</v>
      </c>
      <c r="M91" s="98">
        <f t="shared" si="106"/>
        <v>0</v>
      </c>
      <c r="N91" s="98">
        <f t="shared" ref="N91:P91" si="107">N$20 * N46 * thousand / PowerFactor</f>
        <v>0</v>
      </c>
      <c r="O91" s="98">
        <f t="shared" si="107"/>
        <v>0</v>
      </c>
      <c r="P91" s="98">
        <f t="shared" si="107"/>
        <v>0</v>
      </c>
      <c r="Q91" s="98">
        <f t="shared" ref="Q91:S91" si="108">Q$20 * Q46 * thousand / PowerFactor</f>
        <v>0</v>
      </c>
      <c r="R91" s="98">
        <f t="shared" si="108"/>
        <v>0</v>
      </c>
      <c r="S91" s="98">
        <f t="shared" si="108"/>
        <v>0</v>
      </c>
      <c r="T91" s="98">
        <f t="shared" ref="T91:U91" si="109">T$20 * T46 * thousand / PowerFactor</f>
        <v>0</v>
      </c>
      <c r="U91" s="98">
        <f t="shared" si="109"/>
        <v>0</v>
      </c>
      <c r="V91" s="98">
        <f t="shared" ref="V91:W91" si="110">V$20 * V46 * thousand / PowerFactor</f>
        <v>0</v>
      </c>
      <c r="W91" s="98">
        <f t="shared" si="110"/>
        <v>0</v>
      </c>
      <c r="X91" s="98">
        <f t="shared" ref="X91:Y91" si="111">X$20 * X46 * thousand / PowerFactor</f>
        <v>0</v>
      </c>
      <c r="Y91" s="98">
        <f t="shared" si="111"/>
        <v>0</v>
      </c>
    </row>
    <row r="92" spans="3:25" x14ac:dyDescent="0.25">
      <c r="C92" s="88"/>
      <c r="D92"/>
      <c r="F92" t="s">
        <v>198</v>
      </c>
      <c r="G92" t="s">
        <v>728</v>
      </c>
      <c r="J92" s="98">
        <f t="shared" ref="J92:K92" si="112">J$20 * J47 * thousand / PowerFactor</f>
        <v>0</v>
      </c>
      <c r="K92" s="98">
        <f t="shared" si="112"/>
        <v>0</v>
      </c>
      <c r="L92" s="98">
        <f t="shared" ref="L92:M92" si="113">L$20 * L47 * thousand / PowerFactor</f>
        <v>0</v>
      </c>
      <c r="M92" s="98">
        <f t="shared" si="113"/>
        <v>0</v>
      </c>
      <c r="N92" s="98">
        <f t="shared" ref="N92:P92" si="114">N$20 * N47 * thousand / PowerFactor</f>
        <v>0</v>
      </c>
      <c r="O92" s="98">
        <f t="shared" si="114"/>
        <v>0</v>
      </c>
      <c r="P92" s="98">
        <f t="shared" si="114"/>
        <v>0</v>
      </c>
      <c r="Q92" s="98">
        <f t="shared" ref="Q92:S92" si="115">Q$20 * Q47 * thousand / PowerFactor</f>
        <v>0</v>
      </c>
      <c r="R92" s="98">
        <f t="shared" si="115"/>
        <v>0</v>
      </c>
      <c r="S92" s="98">
        <f t="shared" si="115"/>
        <v>0</v>
      </c>
      <c r="T92" s="98">
        <f t="shared" ref="T92:U92" si="116">T$20 * T47 * thousand / PowerFactor</f>
        <v>0</v>
      </c>
      <c r="U92" s="98">
        <f t="shared" si="116"/>
        <v>0</v>
      </c>
      <c r="V92" s="98">
        <f t="shared" ref="V92:W92" si="117">V$20 * V47 * thousand / PowerFactor</f>
        <v>0</v>
      </c>
      <c r="W92" s="98">
        <f t="shared" si="117"/>
        <v>0</v>
      </c>
      <c r="X92" s="98">
        <f t="shared" ref="X92:Y92" si="118">X$20 * X47 * thousand / PowerFactor</f>
        <v>0</v>
      </c>
      <c r="Y92" s="98">
        <f t="shared" si="118"/>
        <v>0</v>
      </c>
    </row>
    <row r="93" spans="3:25" x14ac:dyDescent="0.25">
      <c r="C93" s="88"/>
      <c r="D93"/>
      <c r="F93" t="s">
        <v>199</v>
      </c>
      <c r="G93" t="s">
        <v>728</v>
      </c>
      <c r="J93" s="98">
        <f t="shared" ref="J93:K93" si="119">J$20 * J48 * thousand / PowerFactor</f>
        <v>3046637.8110455964</v>
      </c>
      <c r="K93" s="98">
        <f t="shared" si="119"/>
        <v>0</v>
      </c>
      <c r="L93" s="98">
        <f t="shared" ref="L93:M93" si="120">L$20 * L48 * thousand / PowerFactor</f>
        <v>1101122.0203533645</v>
      </c>
      <c r="M93" s="98">
        <f t="shared" si="120"/>
        <v>0</v>
      </c>
      <c r="N93" s="98">
        <f t="shared" ref="N93:P93" si="121">N$20 * N48 * thousand / PowerFactor</f>
        <v>0</v>
      </c>
      <c r="O93" s="98">
        <f t="shared" si="121"/>
        <v>0</v>
      </c>
      <c r="P93" s="98">
        <f t="shared" si="121"/>
        <v>0</v>
      </c>
      <c r="Q93" s="98">
        <f t="shared" ref="Q93:S93" si="122">Q$20 * Q48 * thousand / PowerFactor</f>
        <v>0</v>
      </c>
      <c r="R93" s="98">
        <f t="shared" si="122"/>
        <v>0</v>
      </c>
      <c r="S93" s="98">
        <f t="shared" si="122"/>
        <v>0</v>
      </c>
      <c r="T93" s="98">
        <f t="shared" ref="T93:U93" si="123">T$20 * T48 * thousand / PowerFactor</f>
        <v>0</v>
      </c>
      <c r="U93" s="98">
        <f t="shared" si="123"/>
        <v>0</v>
      </c>
      <c r="V93" s="98">
        <f t="shared" ref="V93:W93" si="124">V$20 * V48 * thousand / PowerFactor</f>
        <v>0</v>
      </c>
      <c r="W93" s="98">
        <f t="shared" si="124"/>
        <v>0</v>
      </c>
      <c r="X93" s="98">
        <f t="shared" ref="X93:Y93" si="125">X$20 * X48 * thousand / PowerFactor</f>
        <v>0</v>
      </c>
      <c r="Y93" s="98">
        <f t="shared" si="125"/>
        <v>0</v>
      </c>
    </row>
    <row r="94" spans="3:25" x14ac:dyDescent="0.25">
      <c r="C94" s="88"/>
      <c r="D94"/>
      <c r="F94" t="s">
        <v>376</v>
      </c>
      <c r="G94" t="s">
        <v>728</v>
      </c>
      <c r="J94" s="79"/>
      <c r="K94" s="79"/>
      <c r="L94" s="79"/>
      <c r="M94" s="79"/>
      <c r="N94" s="79"/>
      <c r="O94" s="79"/>
      <c r="P94" s="79"/>
      <c r="Q94" s="79"/>
      <c r="R94" s="79"/>
      <c r="S94" s="79"/>
      <c r="T94" s="79"/>
      <c r="U94" s="79"/>
      <c r="V94" s="79"/>
      <c r="W94" s="79"/>
      <c r="X94" s="79"/>
      <c r="Y94" s="79"/>
    </row>
    <row r="95" spans="3:25" x14ac:dyDescent="0.25">
      <c r="C95" s="88"/>
      <c r="D95"/>
      <c r="F95" s="37" t="s">
        <v>377</v>
      </c>
      <c r="G95" s="37" t="s">
        <v>728</v>
      </c>
      <c r="H95" s="37"/>
      <c r="I95" s="37"/>
      <c r="J95" s="81"/>
      <c r="K95" s="81"/>
      <c r="L95" s="81"/>
      <c r="M95" s="81"/>
      <c r="N95" s="81"/>
      <c r="O95" s="81"/>
      <c r="P95" s="81"/>
      <c r="Q95" s="81"/>
      <c r="R95" s="81"/>
      <c r="S95" s="81"/>
      <c r="T95" s="81"/>
      <c r="U95" s="81"/>
      <c r="V95" s="81"/>
      <c r="W95" s="81"/>
      <c r="X95" s="81"/>
      <c r="Y95" s="81"/>
    </row>
    <row r="96" spans="3:25" x14ac:dyDescent="0.25">
      <c r="C96" s="88"/>
      <c r="J96" s="89"/>
      <c r="K96" s="89"/>
      <c r="L96" s="89"/>
      <c r="M96" s="89"/>
      <c r="N96" s="89"/>
      <c r="O96" s="89"/>
      <c r="P96" s="89"/>
      <c r="Q96" s="89"/>
      <c r="R96" s="89"/>
      <c r="S96" s="89"/>
      <c r="T96" s="89"/>
      <c r="U96" s="89"/>
      <c r="V96" s="89"/>
      <c r="W96" s="89"/>
      <c r="X96" s="89"/>
      <c r="Y96" s="89"/>
    </row>
    <row r="97" spans="3:27" x14ac:dyDescent="0.25">
      <c r="C97" s="31" t="str">
        <f ca="1">INDEX('Version control'!$H$34:$H$57,MATCH($A$1,'Version control'!$F$34:$F$57,0),1)&amp;"-F: Revenue allocated to fixed charges, by aggregation group"</f>
        <v>Section 114-F: Revenue allocated to fixed charges, by aggregation group</v>
      </c>
      <c r="D97" s="31"/>
      <c r="E97" s="31"/>
      <c r="F97" s="31"/>
      <c r="G97" s="31"/>
      <c r="H97" s="31"/>
      <c r="I97" s="31"/>
      <c r="J97" s="90"/>
      <c r="K97" s="90"/>
      <c r="L97" s="90"/>
      <c r="M97" s="90"/>
      <c r="N97" s="90"/>
      <c r="O97" s="90"/>
      <c r="P97" s="90"/>
      <c r="Q97" s="90"/>
      <c r="R97" s="90"/>
      <c r="S97" s="90"/>
      <c r="T97" s="90"/>
      <c r="U97" s="90"/>
      <c r="V97" s="90"/>
      <c r="W97" s="90"/>
      <c r="X97" s="90"/>
      <c r="Y97" s="90"/>
      <c r="Z97" s="31"/>
      <c r="AA97" s="31"/>
    </row>
    <row r="98" spans="3:27" x14ac:dyDescent="0.25">
      <c r="D98"/>
      <c r="E98" s="32"/>
      <c r="I98" t="s">
        <v>154</v>
      </c>
      <c r="J98" s="89"/>
      <c r="K98" s="89"/>
      <c r="L98" s="89"/>
      <c r="M98" s="89"/>
      <c r="N98" s="89"/>
      <c r="O98" s="89"/>
      <c r="P98" s="89"/>
      <c r="Q98" s="89"/>
      <c r="R98" s="89"/>
      <c r="S98" s="89"/>
      <c r="T98" s="89"/>
      <c r="U98" s="89"/>
      <c r="V98" s="89"/>
      <c r="W98" s="89"/>
      <c r="X98" s="89"/>
      <c r="Y98" s="89"/>
      <c r="AA98" t="s">
        <v>726</v>
      </c>
    </row>
    <row r="99" spans="3:27" x14ac:dyDescent="0.25">
      <c r="C99" s="88"/>
      <c r="D99"/>
      <c r="E99" s="32" t="s">
        <v>621</v>
      </c>
      <c r="J99" s="89"/>
      <c r="K99" s="89"/>
      <c r="L99" s="89"/>
      <c r="M99" s="89"/>
      <c r="N99" s="89"/>
      <c r="O99" s="89"/>
      <c r="P99" s="89"/>
      <c r="Q99" s="89"/>
      <c r="R99" s="89"/>
      <c r="S99" s="89"/>
      <c r="T99" s="89"/>
      <c r="U99" s="89"/>
      <c r="V99" s="89"/>
      <c r="W99" s="89"/>
      <c r="X99" s="89"/>
      <c r="Y99" s="89"/>
    </row>
    <row r="100" spans="3:27" x14ac:dyDescent="0.25">
      <c r="C100" s="88"/>
      <c r="D100"/>
      <c r="E100" s="29"/>
      <c r="F100" s="23" t="s">
        <v>189</v>
      </c>
      <c r="G100" s="23" t="s">
        <v>728</v>
      </c>
      <c r="H100" s="23"/>
      <c r="I100" s="23"/>
      <c r="J100" s="83"/>
      <c r="K100" s="83"/>
      <c r="L100" s="83"/>
      <c r="M100" s="83"/>
      <c r="N100" s="83"/>
      <c r="O100" s="83"/>
      <c r="P100" s="83"/>
      <c r="Q100" s="83"/>
      <c r="R100" s="83"/>
      <c r="S100" s="83"/>
      <c r="T100" s="83"/>
      <c r="U100" s="83"/>
      <c r="V100" s="83"/>
      <c r="W100" s="83"/>
      <c r="X100" s="83"/>
      <c r="Y100" s="83"/>
    </row>
    <row r="101" spans="3:27" x14ac:dyDescent="0.25">
      <c r="C101" s="88"/>
      <c r="D101"/>
      <c r="E101" s="29"/>
      <c r="F101" t="s">
        <v>191</v>
      </c>
      <c r="G101" t="s">
        <v>728</v>
      </c>
      <c r="J101" s="79"/>
      <c r="K101" s="79"/>
      <c r="L101" s="79"/>
      <c r="M101" s="79"/>
      <c r="N101" s="79"/>
      <c r="O101" s="79"/>
      <c r="P101" s="79"/>
      <c r="Q101" s="79"/>
      <c r="R101" s="79"/>
      <c r="S101" s="79"/>
      <c r="T101" s="79"/>
      <c r="U101" s="79"/>
      <c r="V101" s="79"/>
      <c r="W101" s="79"/>
      <c r="X101" s="79"/>
      <c r="Y101" s="79"/>
    </row>
    <row r="102" spans="3:27" x14ac:dyDescent="0.25">
      <c r="C102" s="88"/>
      <c r="D102"/>
      <c r="E102" s="29"/>
      <c r="F102" t="s">
        <v>192</v>
      </c>
      <c r="G102" t="s">
        <v>728</v>
      </c>
      <c r="J102" s="98">
        <f t="shared" ref="J102:Y102" si="126">SUMIFS($J72:$Y72,$J$63:$Y$63,J$63)</f>
        <v>0</v>
      </c>
      <c r="K102" s="98">
        <f t="shared" si="126"/>
        <v>0</v>
      </c>
      <c r="L102" s="98">
        <f t="shared" si="126"/>
        <v>0</v>
      </c>
      <c r="M102" s="98">
        <f t="shared" si="126"/>
        <v>0</v>
      </c>
      <c r="N102" s="98">
        <f t="shared" si="126"/>
        <v>0</v>
      </c>
      <c r="O102" s="98">
        <f t="shared" si="126"/>
        <v>0</v>
      </c>
      <c r="P102" s="98">
        <f t="shared" si="126"/>
        <v>0</v>
      </c>
      <c r="Q102" s="98">
        <f t="shared" si="126"/>
        <v>0</v>
      </c>
      <c r="R102" s="98">
        <f t="shared" si="126"/>
        <v>0</v>
      </c>
      <c r="S102" s="98">
        <f t="shared" si="126"/>
        <v>0</v>
      </c>
      <c r="T102" s="98">
        <f t="shared" si="126"/>
        <v>0</v>
      </c>
      <c r="U102" s="98">
        <f t="shared" si="126"/>
        <v>0</v>
      </c>
      <c r="V102" s="98">
        <f t="shared" si="126"/>
        <v>0</v>
      </c>
      <c r="W102" s="98">
        <f t="shared" si="126"/>
        <v>0</v>
      </c>
      <c r="X102" s="98">
        <f t="shared" si="126"/>
        <v>0</v>
      </c>
      <c r="Y102" s="98">
        <f t="shared" si="126"/>
        <v>0</v>
      </c>
    </row>
    <row r="103" spans="3:27" x14ac:dyDescent="0.25">
      <c r="C103" s="88"/>
      <c r="D103"/>
      <c r="E103" s="29"/>
      <c r="F103" t="s">
        <v>193</v>
      </c>
      <c r="G103" t="s">
        <v>728</v>
      </c>
      <c r="J103" s="98">
        <f t="shared" ref="J103:Y103" si="127">SUMIFS($J73:$Y73,$J$63:$Y$63,J$63)</f>
        <v>0</v>
      </c>
      <c r="K103" s="98">
        <f t="shared" si="127"/>
        <v>0</v>
      </c>
      <c r="L103" s="98">
        <f t="shared" si="127"/>
        <v>0</v>
      </c>
      <c r="M103" s="98">
        <f t="shared" si="127"/>
        <v>0</v>
      </c>
      <c r="N103" s="98">
        <f t="shared" si="127"/>
        <v>0</v>
      </c>
      <c r="O103" s="98">
        <f t="shared" si="127"/>
        <v>0</v>
      </c>
      <c r="P103" s="98">
        <f t="shared" si="127"/>
        <v>0</v>
      </c>
      <c r="Q103" s="98">
        <f t="shared" si="127"/>
        <v>0</v>
      </c>
      <c r="R103" s="98">
        <f t="shared" si="127"/>
        <v>0</v>
      </c>
      <c r="S103" s="98">
        <f t="shared" si="127"/>
        <v>0</v>
      </c>
      <c r="T103" s="98">
        <f t="shared" si="127"/>
        <v>0</v>
      </c>
      <c r="U103" s="98">
        <f t="shared" si="127"/>
        <v>0</v>
      </c>
      <c r="V103" s="98">
        <f t="shared" si="127"/>
        <v>0</v>
      </c>
      <c r="W103" s="98">
        <f t="shared" si="127"/>
        <v>0</v>
      </c>
      <c r="X103" s="98">
        <f t="shared" si="127"/>
        <v>0</v>
      </c>
      <c r="Y103" s="98">
        <f t="shared" si="127"/>
        <v>0</v>
      </c>
    </row>
    <row r="104" spans="3:27" x14ac:dyDescent="0.25">
      <c r="C104" s="88"/>
      <c r="D104"/>
      <c r="E104" s="29"/>
      <c r="F104" t="s">
        <v>194</v>
      </c>
      <c r="G104" t="s">
        <v>728</v>
      </c>
      <c r="J104" s="98">
        <f t="shared" ref="J104:Y104" si="128">SUMIFS($J74:$Y74,$J$63:$Y$63,J$63)</f>
        <v>0</v>
      </c>
      <c r="K104" s="98">
        <f t="shared" si="128"/>
        <v>0</v>
      </c>
      <c r="L104" s="98">
        <f t="shared" si="128"/>
        <v>0</v>
      </c>
      <c r="M104" s="98">
        <f t="shared" si="128"/>
        <v>0</v>
      </c>
      <c r="N104" s="98">
        <f t="shared" si="128"/>
        <v>0</v>
      </c>
      <c r="O104" s="98">
        <f t="shared" si="128"/>
        <v>0</v>
      </c>
      <c r="P104" s="98">
        <f t="shared" si="128"/>
        <v>0</v>
      </c>
      <c r="Q104" s="98">
        <f t="shared" si="128"/>
        <v>0</v>
      </c>
      <c r="R104" s="98">
        <f t="shared" si="128"/>
        <v>0</v>
      </c>
      <c r="S104" s="98">
        <f t="shared" si="128"/>
        <v>0</v>
      </c>
      <c r="T104" s="98">
        <f t="shared" si="128"/>
        <v>0</v>
      </c>
      <c r="U104" s="98">
        <f t="shared" si="128"/>
        <v>0</v>
      </c>
      <c r="V104" s="98">
        <f t="shared" si="128"/>
        <v>0</v>
      </c>
      <c r="W104" s="98">
        <f t="shared" si="128"/>
        <v>0</v>
      </c>
      <c r="X104" s="98">
        <f t="shared" si="128"/>
        <v>0</v>
      </c>
      <c r="Y104" s="98">
        <f t="shared" si="128"/>
        <v>0</v>
      </c>
    </row>
    <row r="105" spans="3:27" x14ac:dyDescent="0.25">
      <c r="C105" s="88"/>
      <c r="D105"/>
      <c r="E105" s="29"/>
      <c r="F105" t="s">
        <v>195</v>
      </c>
      <c r="G105" t="s">
        <v>728</v>
      </c>
      <c r="J105" s="98">
        <f t="shared" ref="J105:Y105" si="129">SUMIFS($J75:$Y75,$J$63:$Y$63,J$63)</f>
        <v>0</v>
      </c>
      <c r="K105" s="98">
        <f t="shared" si="129"/>
        <v>0</v>
      </c>
      <c r="L105" s="98">
        <f t="shared" si="129"/>
        <v>0</v>
      </c>
      <c r="M105" s="98">
        <f t="shared" si="129"/>
        <v>0</v>
      </c>
      <c r="N105" s="98">
        <f t="shared" si="129"/>
        <v>0</v>
      </c>
      <c r="O105" s="98">
        <f t="shared" si="129"/>
        <v>0</v>
      </c>
      <c r="P105" s="98">
        <f t="shared" si="129"/>
        <v>0</v>
      </c>
      <c r="Q105" s="98">
        <f t="shared" si="129"/>
        <v>0</v>
      </c>
      <c r="R105" s="98">
        <f t="shared" si="129"/>
        <v>0</v>
      </c>
      <c r="S105" s="98">
        <f t="shared" si="129"/>
        <v>0</v>
      </c>
      <c r="T105" s="98">
        <f t="shared" si="129"/>
        <v>0</v>
      </c>
      <c r="U105" s="98">
        <f t="shared" si="129"/>
        <v>0</v>
      </c>
      <c r="V105" s="98">
        <f t="shared" si="129"/>
        <v>0</v>
      </c>
      <c r="W105" s="98">
        <f t="shared" si="129"/>
        <v>0</v>
      </c>
      <c r="X105" s="98">
        <f t="shared" si="129"/>
        <v>0</v>
      </c>
      <c r="Y105" s="98">
        <f t="shared" si="129"/>
        <v>0</v>
      </c>
    </row>
    <row r="106" spans="3:27" x14ac:dyDescent="0.25">
      <c r="C106" s="88"/>
      <c r="D106"/>
      <c r="E106" s="29"/>
      <c r="F106" t="s">
        <v>196</v>
      </c>
      <c r="G106" t="s">
        <v>728</v>
      </c>
      <c r="J106" s="98">
        <f t="shared" ref="J106:Y106" si="130">SUMIFS($J76:$Y76,$J$63:$Y$63,J$63)</f>
        <v>0</v>
      </c>
      <c r="K106" s="98">
        <f t="shared" si="130"/>
        <v>0</v>
      </c>
      <c r="L106" s="98">
        <f t="shared" si="130"/>
        <v>0</v>
      </c>
      <c r="M106" s="98">
        <f t="shared" si="130"/>
        <v>0</v>
      </c>
      <c r="N106" s="98">
        <f t="shared" si="130"/>
        <v>0</v>
      </c>
      <c r="O106" s="98">
        <f t="shared" si="130"/>
        <v>0</v>
      </c>
      <c r="P106" s="98">
        <f t="shared" si="130"/>
        <v>0</v>
      </c>
      <c r="Q106" s="98">
        <f t="shared" si="130"/>
        <v>0</v>
      </c>
      <c r="R106" s="98">
        <f t="shared" si="130"/>
        <v>0</v>
      </c>
      <c r="S106" s="98">
        <f t="shared" si="130"/>
        <v>0</v>
      </c>
      <c r="T106" s="98">
        <f t="shared" si="130"/>
        <v>0</v>
      </c>
      <c r="U106" s="98">
        <f t="shared" si="130"/>
        <v>0</v>
      </c>
      <c r="V106" s="98">
        <f t="shared" si="130"/>
        <v>0</v>
      </c>
      <c r="W106" s="98">
        <f t="shared" si="130"/>
        <v>0</v>
      </c>
      <c r="X106" s="98">
        <f t="shared" si="130"/>
        <v>0</v>
      </c>
      <c r="Y106" s="98">
        <f t="shared" si="130"/>
        <v>0</v>
      </c>
    </row>
    <row r="107" spans="3:27" x14ac:dyDescent="0.25">
      <c r="C107" s="88"/>
      <c r="D107"/>
      <c r="E107" s="29"/>
      <c r="F107" t="s">
        <v>197</v>
      </c>
      <c r="G107" t="s">
        <v>728</v>
      </c>
      <c r="J107" s="98">
        <f t="shared" ref="J107:Y107" si="131">SUMIFS($J77:$Y77,$J$63:$Y$63,J$63)</f>
        <v>0</v>
      </c>
      <c r="K107" s="98">
        <f t="shared" si="131"/>
        <v>0</v>
      </c>
      <c r="L107" s="98">
        <f t="shared" si="131"/>
        <v>0</v>
      </c>
      <c r="M107" s="98">
        <f t="shared" si="131"/>
        <v>0</v>
      </c>
      <c r="N107" s="98">
        <f t="shared" si="131"/>
        <v>0</v>
      </c>
      <c r="O107" s="98">
        <f t="shared" si="131"/>
        <v>0</v>
      </c>
      <c r="P107" s="98">
        <f t="shared" si="131"/>
        <v>0</v>
      </c>
      <c r="Q107" s="98">
        <f t="shared" si="131"/>
        <v>0</v>
      </c>
      <c r="R107" s="98">
        <f t="shared" si="131"/>
        <v>0</v>
      </c>
      <c r="S107" s="98">
        <f t="shared" si="131"/>
        <v>0</v>
      </c>
      <c r="T107" s="98">
        <f t="shared" si="131"/>
        <v>0</v>
      </c>
      <c r="U107" s="98">
        <f t="shared" si="131"/>
        <v>0</v>
      </c>
      <c r="V107" s="98">
        <f t="shared" si="131"/>
        <v>0</v>
      </c>
      <c r="W107" s="98">
        <f t="shared" si="131"/>
        <v>0</v>
      </c>
      <c r="X107" s="98">
        <f t="shared" si="131"/>
        <v>0</v>
      </c>
      <c r="Y107" s="98">
        <f t="shared" si="131"/>
        <v>0</v>
      </c>
    </row>
    <row r="108" spans="3:27" x14ac:dyDescent="0.25">
      <c r="C108" s="88"/>
      <c r="D108"/>
      <c r="E108" s="29"/>
      <c r="F108" t="s">
        <v>198</v>
      </c>
      <c r="G108" t="s">
        <v>728</v>
      </c>
      <c r="J108" s="98">
        <f t="shared" ref="J108:Y108" si="132">SUMIFS($J78:$Y78,$J$63:$Y$63,J$63)</f>
        <v>0</v>
      </c>
      <c r="K108" s="98">
        <f t="shared" si="132"/>
        <v>0</v>
      </c>
      <c r="L108" s="98">
        <f t="shared" si="132"/>
        <v>0</v>
      </c>
      <c r="M108" s="98">
        <f t="shared" si="132"/>
        <v>0</v>
      </c>
      <c r="N108" s="98">
        <f t="shared" si="132"/>
        <v>0</v>
      </c>
      <c r="O108" s="98">
        <f t="shared" si="132"/>
        <v>0</v>
      </c>
      <c r="P108" s="98">
        <f t="shared" si="132"/>
        <v>0</v>
      </c>
      <c r="Q108" s="98">
        <f t="shared" si="132"/>
        <v>0</v>
      </c>
      <c r="R108" s="98">
        <f t="shared" si="132"/>
        <v>0</v>
      </c>
      <c r="S108" s="98">
        <f t="shared" si="132"/>
        <v>0</v>
      </c>
      <c r="T108" s="98">
        <f t="shared" si="132"/>
        <v>0</v>
      </c>
      <c r="U108" s="98">
        <f t="shared" si="132"/>
        <v>0</v>
      </c>
      <c r="V108" s="98">
        <f t="shared" si="132"/>
        <v>0</v>
      </c>
      <c r="W108" s="98">
        <f t="shared" si="132"/>
        <v>0</v>
      </c>
      <c r="X108" s="98">
        <f t="shared" si="132"/>
        <v>0</v>
      </c>
      <c r="Y108" s="98">
        <f t="shared" si="132"/>
        <v>0</v>
      </c>
    </row>
    <row r="109" spans="3:27" x14ac:dyDescent="0.25">
      <c r="C109" s="88"/>
      <c r="D109"/>
      <c r="E109" s="29"/>
      <c r="F109" t="s">
        <v>199</v>
      </c>
      <c r="G109" t="s">
        <v>728</v>
      </c>
      <c r="J109" s="98">
        <f t="shared" ref="J109:Y109" si="133">SUMIFS($J79:$Y79,$J$63:$Y$63,J$63)</f>
        <v>400375.4878369784</v>
      </c>
      <c r="K109" s="98">
        <f t="shared" si="133"/>
        <v>0</v>
      </c>
      <c r="L109" s="98">
        <f t="shared" si="133"/>
        <v>400375.4878369784</v>
      </c>
      <c r="M109" s="98">
        <f t="shared" si="133"/>
        <v>0</v>
      </c>
      <c r="N109" s="98">
        <f t="shared" si="133"/>
        <v>0</v>
      </c>
      <c r="O109" s="98">
        <f t="shared" si="133"/>
        <v>0</v>
      </c>
      <c r="P109" s="98">
        <f t="shared" si="133"/>
        <v>0</v>
      </c>
      <c r="Q109" s="98">
        <f t="shared" si="133"/>
        <v>0</v>
      </c>
      <c r="R109" s="98">
        <f t="shared" si="133"/>
        <v>0</v>
      </c>
      <c r="S109" s="98">
        <f t="shared" si="133"/>
        <v>0</v>
      </c>
      <c r="T109" s="98">
        <f t="shared" si="133"/>
        <v>0</v>
      </c>
      <c r="U109" s="98">
        <f t="shared" si="133"/>
        <v>0</v>
      </c>
      <c r="V109" s="98">
        <f t="shared" si="133"/>
        <v>0</v>
      </c>
      <c r="W109" s="98">
        <f t="shared" si="133"/>
        <v>0</v>
      </c>
      <c r="X109" s="98">
        <f t="shared" si="133"/>
        <v>0</v>
      </c>
      <c r="Y109" s="98">
        <f t="shared" si="133"/>
        <v>0</v>
      </c>
    </row>
    <row r="110" spans="3:27" x14ac:dyDescent="0.25">
      <c r="C110" s="88"/>
      <c r="D110"/>
      <c r="E110" s="29"/>
      <c r="F110" t="s">
        <v>376</v>
      </c>
      <c r="G110" t="s">
        <v>728</v>
      </c>
      <c r="J110" s="79"/>
      <c r="K110" s="79"/>
      <c r="L110" s="79"/>
      <c r="M110" s="79"/>
      <c r="N110" s="79"/>
      <c r="O110" s="79"/>
      <c r="P110" s="79"/>
      <c r="Q110" s="79"/>
      <c r="R110" s="79"/>
      <c r="S110" s="79"/>
      <c r="T110" s="79"/>
      <c r="U110" s="79"/>
      <c r="V110" s="79"/>
      <c r="W110" s="79"/>
      <c r="X110" s="79"/>
      <c r="Y110" s="79"/>
    </row>
    <row r="111" spans="3:27" x14ac:dyDescent="0.25">
      <c r="C111" s="88"/>
      <c r="D111"/>
      <c r="E111" s="29"/>
      <c r="F111" s="37" t="s">
        <v>377</v>
      </c>
      <c r="G111" s="37" t="s">
        <v>728</v>
      </c>
      <c r="H111" s="37"/>
      <c r="I111" s="37"/>
      <c r="J111" s="81"/>
      <c r="K111" s="81"/>
      <c r="L111" s="81"/>
      <c r="M111" s="81"/>
      <c r="N111" s="81"/>
      <c r="O111" s="81"/>
      <c r="P111" s="81"/>
      <c r="Q111" s="81"/>
      <c r="R111" s="81"/>
      <c r="S111" s="81"/>
      <c r="T111" s="81"/>
      <c r="U111" s="81"/>
      <c r="V111" s="81"/>
      <c r="W111" s="81"/>
      <c r="X111" s="81"/>
      <c r="Y111" s="81"/>
    </row>
    <row r="112" spans="3:27" x14ac:dyDescent="0.25">
      <c r="C112" s="88"/>
      <c r="D112"/>
      <c r="E112" s="29"/>
      <c r="J112" s="89"/>
      <c r="K112" s="89"/>
      <c r="L112" s="89"/>
      <c r="M112" s="89"/>
      <c r="N112" s="89"/>
      <c r="O112" s="89"/>
      <c r="P112" s="89"/>
      <c r="Q112" s="89"/>
      <c r="R112" s="89"/>
      <c r="S112" s="89"/>
      <c r="T112" s="89"/>
      <c r="U112" s="89"/>
      <c r="V112" s="89"/>
      <c r="W112" s="89"/>
      <c r="X112" s="89"/>
      <c r="Y112" s="89"/>
    </row>
    <row r="113" spans="3:27" x14ac:dyDescent="0.25">
      <c r="C113" s="88"/>
      <c r="D113"/>
      <c r="E113" s="32" t="s">
        <v>622</v>
      </c>
      <c r="J113" s="89"/>
      <c r="K113" s="89"/>
      <c r="L113" s="89"/>
      <c r="M113" s="89"/>
      <c r="N113" s="89"/>
      <c r="O113" s="89"/>
      <c r="P113" s="89"/>
      <c r="Q113" s="89"/>
      <c r="R113" s="89"/>
      <c r="S113" s="89"/>
      <c r="T113" s="89"/>
      <c r="U113" s="89"/>
      <c r="V113" s="89"/>
      <c r="W113" s="89"/>
      <c r="X113" s="89"/>
      <c r="Y113" s="89"/>
    </row>
    <row r="114" spans="3:27" x14ac:dyDescent="0.25">
      <c r="C114" s="88"/>
      <c r="D114"/>
      <c r="F114" s="23" t="s">
        <v>189</v>
      </c>
      <c r="G114" s="23" t="s">
        <v>728</v>
      </c>
      <c r="H114" s="23"/>
      <c r="I114" s="23"/>
      <c r="J114" s="126">
        <f t="shared" ref="J114:Y114" si="134">SUMIFS($J84:$Y84,$J$63:$Y$63,J$63)</f>
        <v>0</v>
      </c>
      <c r="K114" s="126">
        <f t="shared" si="134"/>
        <v>0</v>
      </c>
      <c r="L114" s="126">
        <f t="shared" si="134"/>
        <v>0</v>
      </c>
      <c r="M114" s="126">
        <f t="shared" si="134"/>
        <v>0</v>
      </c>
      <c r="N114" s="126">
        <f t="shared" si="134"/>
        <v>0</v>
      </c>
      <c r="O114" s="126">
        <f t="shared" si="134"/>
        <v>0</v>
      </c>
      <c r="P114" s="126">
        <f t="shared" si="134"/>
        <v>0</v>
      </c>
      <c r="Q114" s="126">
        <f t="shared" si="134"/>
        <v>0</v>
      </c>
      <c r="R114" s="126">
        <f t="shared" si="134"/>
        <v>0</v>
      </c>
      <c r="S114" s="126">
        <f t="shared" si="134"/>
        <v>0</v>
      </c>
      <c r="T114" s="126">
        <f t="shared" si="134"/>
        <v>0</v>
      </c>
      <c r="U114" s="126">
        <f t="shared" si="134"/>
        <v>0</v>
      </c>
      <c r="V114" s="126">
        <f t="shared" si="134"/>
        <v>0</v>
      </c>
      <c r="W114" s="126">
        <f t="shared" si="134"/>
        <v>0</v>
      </c>
      <c r="X114" s="126">
        <f t="shared" si="134"/>
        <v>0</v>
      </c>
      <c r="Y114" s="126">
        <f t="shared" si="134"/>
        <v>0</v>
      </c>
    </row>
    <row r="115" spans="3:27" x14ac:dyDescent="0.25">
      <c r="C115" s="88"/>
      <c r="D115"/>
      <c r="F115" t="s">
        <v>191</v>
      </c>
      <c r="G115" t="s">
        <v>728</v>
      </c>
      <c r="J115" s="98">
        <f t="shared" ref="J115:Y115" si="135">SUMIFS($J85:$Y85,$J$63:$Y$63,J$63)</f>
        <v>0</v>
      </c>
      <c r="K115" s="98">
        <f t="shared" si="135"/>
        <v>0</v>
      </c>
      <c r="L115" s="98">
        <f t="shared" si="135"/>
        <v>0</v>
      </c>
      <c r="M115" s="98">
        <f t="shared" si="135"/>
        <v>0</v>
      </c>
      <c r="N115" s="98">
        <f t="shared" si="135"/>
        <v>0</v>
      </c>
      <c r="O115" s="98">
        <f t="shared" si="135"/>
        <v>0</v>
      </c>
      <c r="P115" s="98">
        <f t="shared" si="135"/>
        <v>0</v>
      </c>
      <c r="Q115" s="98">
        <f t="shared" si="135"/>
        <v>0</v>
      </c>
      <c r="R115" s="98">
        <f t="shared" si="135"/>
        <v>0</v>
      </c>
      <c r="S115" s="98">
        <f t="shared" si="135"/>
        <v>0</v>
      </c>
      <c r="T115" s="98">
        <f t="shared" si="135"/>
        <v>0</v>
      </c>
      <c r="U115" s="98">
        <f t="shared" si="135"/>
        <v>0</v>
      </c>
      <c r="V115" s="98">
        <f t="shared" si="135"/>
        <v>0</v>
      </c>
      <c r="W115" s="98">
        <f t="shared" si="135"/>
        <v>0</v>
      </c>
      <c r="X115" s="98">
        <f t="shared" si="135"/>
        <v>0</v>
      </c>
      <c r="Y115" s="98">
        <f t="shared" si="135"/>
        <v>0</v>
      </c>
    </row>
    <row r="116" spans="3:27" x14ac:dyDescent="0.25">
      <c r="C116" s="88"/>
      <c r="D116"/>
      <c r="F116" t="s">
        <v>192</v>
      </c>
      <c r="G116" t="s">
        <v>728</v>
      </c>
      <c r="J116" s="98">
        <f t="shared" ref="J116:Y116" si="136">SUMIFS($J86:$Y86,$J$63:$Y$63,J$63)</f>
        <v>0</v>
      </c>
      <c r="K116" s="98">
        <f t="shared" si="136"/>
        <v>0</v>
      </c>
      <c r="L116" s="98">
        <f t="shared" si="136"/>
        <v>0</v>
      </c>
      <c r="M116" s="98">
        <f t="shared" si="136"/>
        <v>0</v>
      </c>
      <c r="N116" s="98">
        <f t="shared" si="136"/>
        <v>0</v>
      </c>
      <c r="O116" s="98">
        <f t="shared" si="136"/>
        <v>0</v>
      </c>
      <c r="P116" s="98">
        <f t="shared" si="136"/>
        <v>0</v>
      </c>
      <c r="Q116" s="98">
        <f t="shared" si="136"/>
        <v>0</v>
      </c>
      <c r="R116" s="98">
        <f t="shared" si="136"/>
        <v>0</v>
      </c>
      <c r="S116" s="98">
        <f t="shared" si="136"/>
        <v>0</v>
      </c>
      <c r="T116" s="98">
        <f t="shared" si="136"/>
        <v>0</v>
      </c>
      <c r="U116" s="98">
        <f t="shared" si="136"/>
        <v>0</v>
      </c>
      <c r="V116" s="98">
        <f t="shared" si="136"/>
        <v>0</v>
      </c>
      <c r="W116" s="98">
        <f t="shared" si="136"/>
        <v>0</v>
      </c>
      <c r="X116" s="98">
        <f t="shared" si="136"/>
        <v>0</v>
      </c>
      <c r="Y116" s="98">
        <f t="shared" si="136"/>
        <v>0</v>
      </c>
    </row>
    <row r="117" spans="3:27" x14ac:dyDescent="0.25">
      <c r="C117" s="88"/>
      <c r="D117"/>
      <c r="F117" t="s">
        <v>193</v>
      </c>
      <c r="G117" t="s">
        <v>728</v>
      </c>
      <c r="J117" s="98">
        <f t="shared" ref="J117:Y117" si="137">SUMIFS($J87:$Y87,$J$63:$Y$63,J$63)</f>
        <v>0</v>
      </c>
      <c r="K117" s="98">
        <f t="shared" si="137"/>
        <v>0</v>
      </c>
      <c r="L117" s="98">
        <f t="shared" si="137"/>
        <v>0</v>
      </c>
      <c r="M117" s="98">
        <f t="shared" si="137"/>
        <v>0</v>
      </c>
      <c r="N117" s="98">
        <f t="shared" si="137"/>
        <v>0</v>
      </c>
      <c r="O117" s="98">
        <f t="shared" si="137"/>
        <v>0</v>
      </c>
      <c r="P117" s="98">
        <f t="shared" si="137"/>
        <v>0</v>
      </c>
      <c r="Q117" s="98">
        <f t="shared" si="137"/>
        <v>0</v>
      </c>
      <c r="R117" s="98">
        <f t="shared" si="137"/>
        <v>0</v>
      </c>
      <c r="S117" s="98">
        <f t="shared" si="137"/>
        <v>0</v>
      </c>
      <c r="T117" s="98">
        <f t="shared" si="137"/>
        <v>0</v>
      </c>
      <c r="U117" s="98">
        <f t="shared" si="137"/>
        <v>0</v>
      </c>
      <c r="V117" s="98">
        <f t="shared" si="137"/>
        <v>0</v>
      </c>
      <c r="W117" s="98">
        <f t="shared" si="137"/>
        <v>0</v>
      </c>
      <c r="X117" s="98">
        <f t="shared" si="137"/>
        <v>0</v>
      </c>
      <c r="Y117" s="98">
        <f t="shared" si="137"/>
        <v>0</v>
      </c>
    </row>
    <row r="118" spans="3:27" x14ac:dyDescent="0.25">
      <c r="C118" s="88"/>
      <c r="D118"/>
      <c r="F118" t="s">
        <v>194</v>
      </c>
      <c r="G118" t="s">
        <v>728</v>
      </c>
      <c r="J118" s="98">
        <f t="shared" ref="J118:Y118" si="138">SUMIFS($J88:$Y88,$J$63:$Y$63,J$63)</f>
        <v>0</v>
      </c>
      <c r="K118" s="98">
        <f t="shared" si="138"/>
        <v>0</v>
      </c>
      <c r="L118" s="98">
        <f t="shared" si="138"/>
        <v>0</v>
      </c>
      <c r="M118" s="98">
        <f t="shared" si="138"/>
        <v>0</v>
      </c>
      <c r="N118" s="98">
        <f t="shared" si="138"/>
        <v>0</v>
      </c>
      <c r="O118" s="98">
        <f t="shared" si="138"/>
        <v>0</v>
      </c>
      <c r="P118" s="98">
        <f t="shared" si="138"/>
        <v>0</v>
      </c>
      <c r="Q118" s="98">
        <f t="shared" si="138"/>
        <v>0</v>
      </c>
      <c r="R118" s="98">
        <f t="shared" si="138"/>
        <v>0</v>
      </c>
      <c r="S118" s="98">
        <f t="shared" si="138"/>
        <v>0</v>
      </c>
      <c r="T118" s="98">
        <f t="shared" si="138"/>
        <v>0</v>
      </c>
      <c r="U118" s="98">
        <f t="shared" si="138"/>
        <v>0</v>
      </c>
      <c r="V118" s="98">
        <f t="shared" si="138"/>
        <v>0</v>
      </c>
      <c r="W118" s="98">
        <f t="shared" si="138"/>
        <v>0</v>
      </c>
      <c r="X118" s="98">
        <f t="shared" si="138"/>
        <v>0</v>
      </c>
      <c r="Y118" s="98">
        <f t="shared" si="138"/>
        <v>0</v>
      </c>
    </row>
    <row r="119" spans="3:27" x14ac:dyDescent="0.25">
      <c r="C119" s="88"/>
      <c r="D119"/>
      <c r="F119" t="s">
        <v>195</v>
      </c>
      <c r="G119" t="s">
        <v>728</v>
      </c>
      <c r="J119" s="98">
        <f t="shared" ref="J119:Y119" si="139">SUMIFS($J89:$Y89,$J$63:$Y$63,J$63)</f>
        <v>0</v>
      </c>
      <c r="K119" s="98">
        <f t="shared" si="139"/>
        <v>0</v>
      </c>
      <c r="L119" s="98">
        <f t="shared" si="139"/>
        <v>0</v>
      </c>
      <c r="M119" s="98">
        <f t="shared" si="139"/>
        <v>0</v>
      </c>
      <c r="N119" s="98">
        <f t="shared" si="139"/>
        <v>0</v>
      </c>
      <c r="O119" s="98">
        <f t="shared" si="139"/>
        <v>0</v>
      </c>
      <c r="P119" s="98">
        <f t="shared" si="139"/>
        <v>0</v>
      </c>
      <c r="Q119" s="98">
        <f t="shared" si="139"/>
        <v>0</v>
      </c>
      <c r="R119" s="98">
        <f t="shared" si="139"/>
        <v>0</v>
      </c>
      <c r="S119" s="98">
        <f t="shared" si="139"/>
        <v>0</v>
      </c>
      <c r="T119" s="98">
        <f t="shared" si="139"/>
        <v>0</v>
      </c>
      <c r="U119" s="98">
        <f t="shared" si="139"/>
        <v>0</v>
      </c>
      <c r="V119" s="98">
        <f t="shared" si="139"/>
        <v>0</v>
      </c>
      <c r="W119" s="98">
        <f t="shared" si="139"/>
        <v>0</v>
      </c>
      <c r="X119" s="98">
        <f t="shared" si="139"/>
        <v>0</v>
      </c>
      <c r="Y119" s="98">
        <f t="shared" si="139"/>
        <v>0</v>
      </c>
    </row>
    <row r="120" spans="3:27" x14ac:dyDescent="0.25">
      <c r="C120" s="88"/>
      <c r="D120"/>
      <c r="F120" t="s">
        <v>196</v>
      </c>
      <c r="G120" t="s">
        <v>728</v>
      </c>
      <c r="J120" s="98">
        <f t="shared" ref="J120:Y120" si="140">SUMIFS($J90:$Y90,$J$63:$Y$63,J$63)</f>
        <v>0</v>
      </c>
      <c r="K120" s="98">
        <f t="shared" si="140"/>
        <v>0</v>
      </c>
      <c r="L120" s="98">
        <f t="shared" si="140"/>
        <v>0</v>
      </c>
      <c r="M120" s="98">
        <f t="shared" si="140"/>
        <v>0</v>
      </c>
      <c r="N120" s="98">
        <f t="shared" si="140"/>
        <v>0</v>
      </c>
      <c r="O120" s="98">
        <f t="shared" si="140"/>
        <v>0</v>
      </c>
      <c r="P120" s="98">
        <f t="shared" si="140"/>
        <v>0</v>
      </c>
      <c r="Q120" s="98">
        <f t="shared" si="140"/>
        <v>0</v>
      </c>
      <c r="R120" s="98">
        <f t="shared" si="140"/>
        <v>0</v>
      </c>
      <c r="S120" s="98">
        <f t="shared" si="140"/>
        <v>0</v>
      </c>
      <c r="T120" s="98">
        <f t="shared" si="140"/>
        <v>0</v>
      </c>
      <c r="U120" s="98">
        <f t="shared" si="140"/>
        <v>0</v>
      </c>
      <c r="V120" s="98">
        <f t="shared" si="140"/>
        <v>0</v>
      </c>
      <c r="W120" s="98">
        <f t="shared" si="140"/>
        <v>0</v>
      </c>
      <c r="X120" s="98">
        <f t="shared" si="140"/>
        <v>0</v>
      </c>
      <c r="Y120" s="98">
        <f t="shared" si="140"/>
        <v>0</v>
      </c>
    </row>
    <row r="121" spans="3:27" x14ac:dyDescent="0.25">
      <c r="C121" s="88"/>
      <c r="D121"/>
      <c r="F121" t="s">
        <v>197</v>
      </c>
      <c r="G121" t="s">
        <v>728</v>
      </c>
      <c r="J121" s="98">
        <f t="shared" ref="J121:Y121" si="141">SUMIFS($J91:$Y91,$J$63:$Y$63,J$63)</f>
        <v>0</v>
      </c>
      <c r="K121" s="98">
        <f t="shared" si="141"/>
        <v>0</v>
      </c>
      <c r="L121" s="98">
        <f t="shared" si="141"/>
        <v>0</v>
      </c>
      <c r="M121" s="98">
        <f t="shared" si="141"/>
        <v>0</v>
      </c>
      <c r="N121" s="98">
        <f t="shared" si="141"/>
        <v>0</v>
      </c>
      <c r="O121" s="98">
        <f t="shared" si="141"/>
        <v>0</v>
      </c>
      <c r="P121" s="98">
        <f t="shared" si="141"/>
        <v>0</v>
      </c>
      <c r="Q121" s="98">
        <f t="shared" si="141"/>
        <v>0</v>
      </c>
      <c r="R121" s="98">
        <f t="shared" si="141"/>
        <v>0</v>
      </c>
      <c r="S121" s="98">
        <f t="shared" si="141"/>
        <v>0</v>
      </c>
      <c r="T121" s="98">
        <f t="shared" si="141"/>
        <v>0</v>
      </c>
      <c r="U121" s="98">
        <f t="shared" si="141"/>
        <v>0</v>
      </c>
      <c r="V121" s="98">
        <f t="shared" si="141"/>
        <v>0</v>
      </c>
      <c r="W121" s="98">
        <f t="shared" si="141"/>
        <v>0</v>
      </c>
      <c r="X121" s="98">
        <f t="shared" si="141"/>
        <v>0</v>
      </c>
      <c r="Y121" s="98">
        <f t="shared" si="141"/>
        <v>0</v>
      </c>
    </row>
    <row r="122" spans="3:27" x14ac:dyDescent="0.25">
      <c r="C122" s="88"/>
      <c r="D122"/>
      <c r="F122" t="s">
        <v>198</v>
      </c>
      <c r="G122" t="s">
        <v>728</v>
      </c>
      <c r="J122" s="98">
        <f t="shared" ref="J122:Y122" si="142">SUMIFS($J92:$Y92,$J$63:$Y$63,J$63)</f>
        <v>0</v>
      </c>
      <c r="K122" s="98">
        <f t="shared" si="142"/>
        <v>0</v>
      </c>
      <c r="L122" s="98">
        <f t="shared" si="142"/>
        <v>0</v>
      </c>
      <c r="M122" s="98">
        <f t="shared" si="142"/>
        <v>0</v>
      </c>
      <c r="N122" s="98">
        <f t="shared" si="142"/>
        <v>0</v>
      </c>
      <c r="O122" s="98">
        <f t="shared" si="142"/>
        <v>0</v>
      </c>
      <c r="P122" s="98">
        <f t="shared" si="142"/>
        <v>0</v>
      </c>
      <c r="Q122" s="98">
        <f t="shared" si="142"/>
        <v>0</v>
      </c>
      <c r="R122" s="98">
        <f t="shared" si="142"/>
        <v>0</v>
      </c>
      <c r="S122" s="98">
        <f t="shared" si="142"/>
        <v>0</v>
      </c>
      <c r="T122" s="98">
        <f t="shared" si="142"/>
        <v>0</v>
      </c>
      <c r="U122" s="98">
        <f t="shared" si="142"/>
        <v>0</v>
      </c>
      <c r="V122" s="98">
        <f t="shared" si="142"/>
        <v>0</v>
      </c>
      <c r="W122" s="98">
        <f t="shared" si="142"/>
        <v>0</v>
      </c>
      <c r="X122" s="98">
        <f t="shared" si="142"/>
        <v>0</v>
      </c>
      <c r="Y122" s="98">
        <f t="shared" si="142"/>
        <v>0</v>
      </c>
    </row>
    <row r="123" spans="3:27" x14ac:dyDescent="0.25">
      <c r="C123" s="88"/>
      <c r="D123"/>
      <c r="F123" t="s">
        <v>199</v>
      </c>
      <c r="G123" t="s">
        <v>728</v>
      </c>
      <c r="J123" s="98">
        <f t="shared" ref="J123:Y123" si="143">SUMIFS($J93:$Y93,$J$63:$Y$63,J$63)</f>
        <v>4147759.8313989611</v>
      </c>
      <c r="K123" s="98">
        <f t="shared" si="143"/>
        <v>0</v>
      </c>
      <c r="L123" s="98">
        <f t="shared" si="143"/>
        <v>4147759.8313989611</v>
      </c>
      <c r="M123" s="98">
        <f t="shared" si="143"/>
        <v>0</v>
      </c>
      <c r="N123" s="98">
        <f t="shared" si="143"/>
        <v>0</v>
      </c>
      <c r="O123" s="98">
        <f t="shared" si="143"/>
        <v>0</v>
      </c>
      <c r="P123" s="98">
        <f t="shared" si="143"/>
        <v>0</v>
      </c>
      <c r="Q123" s="98">
        <f t="shared" si="143"/>
        <v>0</v>
      </c>
      <c r="R123" s="98">
        <f t="shared" si="143"/>
        <v>0</v>
      </c>
      <c r="S123" s="98">
        <f t="shared" si="143"/>
        <v>0</v>
      </c>
      <c r="T123" s="98">
        <f t="shared" si="143"/>
        <v>0</v>
      </c>
      <c r="U123" s="98">
        <f t="shared" si="143"/>
        <v>0</v>
      </c>
      <c r="V123" s="98">
        <f t="shared" si="143"/>
        <v>0</v>
      </c>
      <c r="W123" s="98">
        <f t="shared" si="143"/>
        <v>0</v>
      </c>
      <c r="X123" s="98">
        <f t="shared" si="143"/>
        <v>0</v>
      </c>
      <c r="Y123" s="98">
        <f t="shared" si="143"/>
        <v>0</v>
      </c>
    </row>
    <row r="124" spans="3:27" x14ac:dyDescent="0.25">
      <c r="C124" s="88"/>
      <c r="D124"/>
      <c r="F124" t="s">
        <v>376</v>
      </c>
      <c r="G124" t="s">
        <v>728</v>
      </c>
      <c r="J124" s="79"/>
      <c r="K124" s="79"/>
      <c r="L124" s="79"/>
      <c r="M124" s="79"/>
      <c r="N124" s="79"/>
      <c r="O124" s="79"/>
      <c r="P124" s="79"/>
      <c r="Q124" s="79"/>
      <c r="R124" s="79"/>
      <c r="S124" s="79"/>
      <c r="T124" s="79"/>
      <c r="U124" s="79"/>
      <c r="V124" s="79"/>
      <c r="W124" s="79"/>
      <c r="X124" s="79"/>
      <c r="Y124" s="79"/>
    </row>
    <row r="125" spans="3:27" x14ac:dyDescent="0.25">
      <c r="C125" s="88"/>
      <c r="D125"/>
      <c r="F125" s="37" t="s">
        <v>377</v>
      </c>
      <c r="G125" s="37" t="s">
        <v>728</v>
      </c>
      <c r="H125" s="37"/>
      <c r="I125" s="37"/>
      <c r="J125" s="81"/>
      <c r="K125" s="81"/>
      <c r="L125" s="81"/>
      <c r="M125" s="81"/>
      <c r="N125" s="81"/>
      <c r="O125" s="81"/>
      <c r="P125" s="81"/>
      <c r="Q125" s="81"/>
      <c r="R125" s="81"/>
      <c r="S125" s="81"/>
      <c r="T125" s="81"/>
      <c r="U125" s="81"/>
      <c r="V125" s="81"/>
      <c r="W125" s="81"/>
      <c r="X125" s="81"/>
      <c r="Y125" s="81"/>
    </row>
    <row r="126" spans="3:27" x14ac:dyDescent="0.25">
      <c r="C126" s="88"/>
      <c r="J126" s="89"/>
      <c r="K126" s="89"/>
      <c r="L126" s="89"/>
      <c r="M126" s="89"/>
      <c r="N126" s="89"/>
      <c r="O126" s="89"/>
      <c r="P126" s="89"/>
      <c r="Q126" s="89"/>
      <c r="R126" s="89"/>
      <c r="S126" s="89"/>
      <c r="T126" s="89"/>
      <c r="U126" s="89"/>
      <c r="V126" s="89"/>
      <c r="W126" s="89"/>
      <c r="X126" s="89"/>
      <c r="Y126" s="89"/>
    </row>
    <row r="127" spans="3:27" x14ac:dyDescent="0.25">
      <c r="C127" s="31" t="str">
        <f ca="1">INDEX('Version control'!$H$34:$H$57,MATCH($A$1,'Version control'!$F$34:$F$57,0),1)&amp;"-G: Fixed charges, by network level"</f>
        <v>Section 114-G: Fixed charges, by network level</v>
      </c>
      <c r="D127" s="31"/>
      <c r="E127" s="31"/>
      <c r="F127" s="31"/>
      <c r="G127" s="31"/>
      <c r="H127" s="31"/>
      <c r="I127" s="31"/>
      <c r="J127" s="90"/>
      <c r="K127" s="90"/>
      <c r="L127" s="90"/>
      <c r="M127" s="90"/>
      <c r="N127" s="90"/>
      <c r="O127" s="90"/>
      <c r="P127" s="90"/>
      <c r="Q127" s="90"/>
      <c r="R127" s="90"/>
      <c r="S127" s="90"/>
      <c r="T127" s="90"/>
      <c r="U127" s="90"/>
      <c r="V127" s="90"/>
      <c r="W127" s="90"/>
      <c r="X127" s="90"/>
      <c r="Y127" s="90"/>
      <c r="Z127" s="31"/>
      <c r="AA127" s="31"/>
    </row>
    <row r="128" spans="3:27" x14ac:dyDescent="0.25">
      <c r="D128"/>
      <c r="E128" s="32"/>
    </row>
    <row r="129" spans="3:27" x14ac:dyDescent="0.25">
      <c r="D129"/>
      <c r="E129" t="s">
        <v>729</v>
      </c>
      <c r="G129" t="s">
        <v>212</v>
      </c>
      <c r="J129" s="89">
        <f t="shared" ref="J129:Y129" si="144">SUMIFS($J$18:$Y$18,$J$63:$Y$63,J63)</f>
        <v>2737617.5958996103</v>
      </c>
      <c r="K129" s="89">
        <f t="shared" si="144"/>
        <v>20811.346077345293</v>
      </c>
      <c r="L129" s="89">
        <f t="shared" si="144"/>
        <v>2737617.5958996103</v>
      </c>
      <c r="M129" s="89">
        <f t="shared" si="144"/>
        <v>20811.346077345293</v>
      </c>
      <c r="N129" s="89">
        <f t="shared" si="144"/>
        <v>20811.346077345293</v>
      </c>
      <c r="O129" s="89">
        <f t="shared" si="144"/>
        <v>20811.346077345293</v>
      </c>
      <c r="P129" s="89">
        <f t="shared" si="144"/>
        <v>20811.346077345293</v>
      </c>
      <c r="Q129" s="89">
        <f t="shared" si="144"/>
        <v>20811.346077345293</v>
      </c>
      <c r="R129" s="89">
        <f t="shared" si="144"/>
        <v>20811.346077345293</v>
      </c>
      <c r="S129" s="89">
        <f t="shared" si="144"/>
        <v>20811.346077345293</v>
      </c>
      <c r="T129" s="89">
        <f t="shared" si="144"/>
        <v>20811.346077345293</v>
      </c>
      <c r="U129" s="89">
        <f t="shared" si="144"/>
        <v>20811.346077345293</v>
      </c>
      <c r="V129" s="89">
        <f t="shared" si="144"/>
        <v>20811.346077345293</v>
      </c>
      <c r="W129" s="89">
        <f t="shared" si="144"/>
        <v>20811.346077345293</v>
      </c>
      <c r="X129" s="89">
        <f t="shared" si="144"/>
        <v>20811.346077345293</v>
      </c>
      <c r="Y129" s="89">
        <f t="shared" si="144"/>
        <v>20811.346077345293</v>
      </c>
    </row>
    <row r="130" spans="3:27" x14ac:dyDescent="0.25">
      <c r="D130"/>
      <c r="E130"/>
    </row>
    <row r="131" spans="3:27" x14ac:dyDescent="0.25">
      <c r="C131" s="88"/>
      <c r="E131" s="32" t="s">
        <v>621</v>
      </c>
      <c r="I131" t="s">
        <v>154</v>
      </c>
      <c r="J131" s="89"/>
      <c r="K131" s="89"/>
      <c r="L131" s="89"/>
      <c r="M131" s="89"/>
      <c r="N131" s="89"/>
      <c r="O131" s="89"/>
      <c r="P131" s="89"/>
      <c r="Q131" s="89"/>
      <c r="R131" s="89"/>
      <c r="S131" s="89"/>
      <c r="T131" s="89"/>
      <c r="U131" s="89"/>
      <c r="V131" s="89"/>
      <c r="W131" s="89"/>
      <c r="X131" s="89"/>
      <c r="Y131" s="89"/>
      <c r="AA131" t="s">
        <v>726</v>
      </c>
    </row>
    <row r="132" spans="3:27" x14ac:dyDescent="0.25">
      <c r="C132" s="88"/>
      <c r="E132" s="29"/>
      <c r="F132" s="23" t="s">
        <v>189</v>
      </c>
      <c r="G132" s="23" t="s">
        <v>270</v>
      </c>
      <c r="H132" s="23"/>
      <c r="I132" s="23"/>
      <c r="J132" s="126">
        <f t="shared" ref="J132:K132" si="145">IF(J$129 = 0, 0, J100 / J$129)</f>
        <v>0</v>
      </c>
      <c r="K132" s="126">
        <f t="shared" si="145"/>
        <v>0</v>
      </c>
      <c r="L132" s="126">
        <f t="shared" ref="L132:M132" si="146">IF(L$129 = 0, 0, L100 / L$129)</f>
        <v>0</v>
      </c>
      <c r="M132" s="126">
        <f t="shared" si="146"/>
        <v>0</v>
      </c>
      <c r="N132" s="126">
        <f t="shared" ref="N132:P132" si="147">IF(N$129 = 0, 0, N100 / N$129)</f>
        <v>0</v>
      </c>
      <c r="O132" s="126">
        <f t="shared" si="147"/>
        <v>0</v>
      </c>
      <c r="P132" s="126">
        <f t="shared" si="147"/>
        <v>0</v>
      </c>
      <c r="Q132" s="126">
        <f t="shared" ref="Q132:S132" si="148">IF(Q$129 = 0, 0, Q100 / Q$129)</f>
        <v>0</v>
      </c>
      <c r="R132" s="126">
        <f t="shared" si="148"/>
        <v>0</v>
      </c>
      <c r="S132" s="126">
        <f t="shared" si="148"/>
        <v>0</v>
      </c>
      <c r="T132" s="126">
        <f t="shared" ref="T132:U132" si="149">IF(T$129 = 0, 0, T100 / T$129)</f>
        <v>0</v>
      </c>
      <c r="U132" s="126">
        <f t="shared" si="149"/>
        <v>0</v>
      </c>
      <c r="V132" s="126">
        <f t="shared" ref="V132:W132" si="150">IF(V$129 = 0, 0, V100 / V$129)</f>
        <v>0</v>
      </c>
      <c r="W132" s="126">
        <f t="shared" si="150"/>
        <v>0</v>
      </c>
      <c r="X132" s="126">
        <f t="shared" ref="X132:Y132" si="151">IF(X$129 = 0, 0, X100 / X$129)</f>
        <v>0</v>
      </c>
      <c r="Y132" s="126">
        <f t="shared" si="151"/>
        <v>0</v>
      </c>
    </row>
    <row r="133" spans="3:27" x14ac:dyDescent="0.25">
      <c r="C133" s="88"/>
      <c r="E133" s="29"/>
      <c r="F133" t="s">
        <v>191</v>
      </c>
      <c r="G133" t="s">
        <v>270</v>
      </c>
      <c r="J133" s="98">
        <f t="shared" ref="J133:K133" si="152">IF(J$129 = 0, 0, J101 / J$129)</f>
        <v>0</v>
      </c>
      <c r="K133" s="98">
        <f t="shared" si="152"/>
        <v>0</v>
      </c>
      <c r="L133" s="98">
        <f t="shared" ref="L133:M133" si="153">IF(L$129 = 0, 0, L101 / L$129)</f>
        <v>0</v>
      </c>
      <c r="M133" s="98">
        <f t="shared" si="153"/>
        <v>0</v>
      </c>
      <c r="N133" s="98">
        <f t="shared" ref="N133:P133" si="154">IF(N$129 = 0, 0, N101 / N$129)</f>
        <v>0</v>
      </c>
      <c r="O133" s="98">
        <f t="shared" si="154"/>
        <v>0</v>
      </c>
      <c r="P133" s="98">
        <f t="shared" si="154"/>
        <v>0</v>
      </c>
      <c r="Q133" s="98">
        <f t="shared" ref="Q133:S133" si="155">IF(Q$129 = 0, 0, Q101 / Q$129)</f>
        <v>0</v>
      </c>
      <c r="R133" s="98">
        <f t="shared" si="155"/>
        <v>0</v>
      </c>
      <c r="S133" s="98">
        <f t="shared" si="155"/>
        <v>0</v>
      </c>
      <c r="T133" s="98">
        <f t="shared" ref="T133:U133" si="156">IF(T$129 = 0, 0, T101 / T$129)</f>
        <v>0</v>
      </c>
      <c r="U133" s="98">
        <f t="shared" si="156"/>
        <v>0</v>
      </c>
      <c r="V133" s="98">
        <f t="shared" ref="V133:W133" si="157">IF(V$129 = 0, 0, V101 / V$129)</f>
        <v>0</v>
      </c>
      <c r="W133" s="98">
        <f t="shared" si="157"/>
        <v>0</v>
      </c>
      <c r="X133" s="98">
        <f t="shared" ref="X133:Y133" si="158">IF(X$129 = 0, 0, X101 / X$129)</f>
        <v>0</v>
      </c>
      <c r="Y133" s="98">
        <f t="shared" si="158"/>
        <v>0</v>
      </c>
    </row>
    <row r="134" spans="3:27" x14ac:dyDescent="0.25">
      <c r="C134" s="88"/>
      <c r="E134" s="29"/>
      <c r="F134" t="s">
        <v>192</v>
      </c>
      <c r="G134" t="s">
        <v>270</v>
      </c>
      <c r="J134" s="98">
        <f t="shared" ref="J134:K134" si="159">IF(J$129 = 0, 0, J102 / J$129)</f>
        <v>0</v>
      </c>
      <c r="K134" s="98">
        <f t="shared" si="159"/>
        <v>0</v>
      </c>
      <c r="L134" s="98">
        <f t="shared" ref="L134:M134" si="160">IF(L$129 = 0, 0, L102 / L$129)</f>
        <v>0</v>
      </c>
      <c r="M134" s="98">
        <f t="shared" si="160"/>
        <v>0</v>
      </c>
      <c r="N134" s="98">
        <f t="shared" ref="N134:P134" si="161">IF(N$129 = 0, 0, N102 / N$129)</f>
        <v>0</v>
      </c>
      <c r="O134" s="98">
        <f t="shared" si="161"/>
        <v>0</v>
      </c>
      <c r="P134" s="98">
        <f t="shared" si="161"/>
        <v>0</v>
      </c>
      <c r="Q134" s="98">
        <f t="shared" ref="Q134:S134" si="162">IF(Q$129 = 0, 0, Q102 / Q$129)</f>
        <v>0</v>
      </c>
      <c r="R134" s="98">
        <f t="shared" si="162"/>
        <v>0</v>
      </c>
      <c r="S134" s="98">
        <f t="shared" si="162"/>
        <v>0</v>
      </c>
      <c r="T134" s="98">
        <f t="shared" ref="T134:U134" si="163">IF(T$129 = 0, 0, T102 / T$129)</f>
        <v>0</v>
      </c>
      <c r="U134" s="98">
        <f t="shared" si="163"/>
        <v>0</v>
      </c>
      <c r="V134" s="98">
        <f t="shared" ref="V134:W134" si="164">IF(V$129 = 0, 0, V102 / V$129)</f>
        <v>0</v>
      </c>
      <c r="W134" s="98">
        <f t="shared" si="164"/>
        <v>0</v>
      </c>
      <c r="X134" s="98">
        <f t="shared" ref="X134:Y134" si="165">IF(X$129 = 0, 0, X102 / X$129)</f>
        <v>0</v>
      </c>
      <c r="Y134" s="98">
        <f t="shared" si="165"/>
        <v>0</v>
      </c>
    </row>
    <row r="135" spans="3:27" x14ac:dyDescent="0.25">
      <c r="C135" s="88"/>
      <c r="E135" s="29"/>
      <c r="F135" t="s">
        <v>193</v>
      </c>
      <c r="G135" t="s">
        <v>270</v>
      </c>
      <c r="J135" s="98">
        <f t="shared" ref="J135:K135" si="166">IF(J$129 = 0, 0, J103 / J$129)</f>
        <v>0</v>
      </c>
      <c r="K135" s="98">
        <f t="shared" si="166"/>
        <v>0</v>
      </c>
      <c r="L135" s="98">
        <f t="shared" ref="L135:M135" si="167">IF(L$129 = 0, 0, L103 / L$129)</f>
        <v>0</v>
      </c>
      <c r="M135" s="98">
        <f t="shared" si="167"/>
        <v>0</v>
      </c>
      <c r="N135" s="98">
        <f t="shared" ref="N135:P135" si="168">IF(N$129 = 0, 0, N103 / N$129)</f>
        <v>0</v>
      </c>
      <c r="O135" s="98">
        <f t="shared" si="168"/>
        <v>0</v>
      </c>
      <c r="P135" s="98">
        <f t="shared" si="168"/>
        <v>0</v>
      </c>
      <c r="Q135" s="98">
        <f t="shared" ref="Q135:S135" si="169">IF(Q$129 = 0, 0, Q103 / Q$129)</f>
        <v>0</v>
      </c>
      <c r="R135" s="98">
        <f t="shared" si="169"/>
        <v>0</v>
      </c>
      <c r="S135" s="98">
        <f t="shared" si="169"/>
        <v>0</v>
      </c>
      <c r="T135" s="98">
        <f t="shared" ref="T135:U135" si="170">IF(T$129 = 0, 0, T103 / T$129)</f>
        <v>0</v>
      </c>
      <c r="U135" s="98">
        <f t="shared" si="170"/>
        <v>0</v>
      </c>
      <c r="V135" s="98">
        <f t="shared" ref="V135:W135" si="171">IF(V$129 = 0, 0, V103 / V$129)</f>
        <v>0</v>
      </c>
      <c r="W135" s="98">
        <f t="shared" si="171"/>
        <v>0</v>
      </c>
      <c r="X135" s="98">
        <f t="shared" ref="X135:Y135" si="172">IF(X$129 = 0, 0, X103 / X$129)</f>
        <v>0</v>
      </c>
      <c r="Y135" s="98">
        <f t="shared" si="172"/>
        <v>0</v>
      </c>
    </row>
    <row r="136" spans="3:27" x14ac:dyDescent="0.25">
      <c r="C136" s="88"/>
      <c r="E136" s="29"/>
      <c r="F136" t="s">
        <v>194</v>
      </c>
      <c r="G136" t="s">
        <v>270</v>
      </c>
      <c r="J136" s="98">
        <f t="shared" ref="J136:K136" si="173">IF(J$129 = 0, 0, J104 / J$129)</f>
        <v>0</v>
      </c>
      <c r="K136" s="98">
        <f t="shared" si="173"/>
        <v>0</v>
      </c>
      <c r="L136" s="98">
        <f t="shared" ref="L136:M136" si="174">IF(L$129 = 0, 0, L104 / L$129)</f>
        <v>0</v>
      </c>
      <c r="M136" s="98">
        <f t="shared" si="174"/>
        <v>0</v>
      </c>
      <c r="N136" s="98">
        <f t="shared" ref="N136:P136" si="175">IF(N$129 = 0, 0, N104 / N$129)</f>
        <v>0</v>
      </c>
      <c r="O136" s="98">
        <f t="shared" si="175"/>
        <v>0</v>
      </c>
      <c r="P136" s="98">
        <f t="shared" si="175"/>
        <v>0</v>
      </c>
      <c r="Q136" s="98">
        <f t="shared" ref="Q136:S136" si="176">IF(Q$129 = 0, 0, Q104 / Q$129)</f>
        <v>0</v>
      </c>
      <c r="R136" s="98">
        <f t="shared" si="176"/>
        <v>0</v>
      </c>
      <c r="S136" s="98">
        <f t="shared" si="176"/>
        <v>0</v>
      </c>
      <c r="T136" s="98">
        <f t="shared" ref="T136:U136" si="177">IF(T$129 = 0, 0, T104 / T$129)</f>
        <v>0</v>
      </c>
      <c r="U136" s="98">
        <f t="shared" si="177"/>
        <v>0</v>
      </c>
      <c r="V136" s="98">
        <f t="shared" ref="V136:W136" si="178">IF(V$129 = 0, 0, V104 / V$129)</f>
        <v>0</v>
      </c>
      <c r="W136" s="98">
        <f t="shared" si="178"/>
        <v>0</v>
      </c>
      <c r="X136" s="98">
        <f t="shared" ref="X136:Y136" si="179">IF(X$129 = 0, 0, X104 / X$129)</f>
        <v>0</v>
      </c>
      <c r="Y136" s="98">
        <f t="shared" si="179"/>
        <v>0</v>
      </c>
    </row>
    <row r="137" spans="3:27" x14ac:dyDescent="0.25">
      <c r="C137" s="88"/>
      <c r="E137" s="29"/>
      <c r="F137" t="s">
        <v>195</v>
      </c>
      <c r="G137" t="s">
        <v>270</v>
      </c>
      <c r="J137" s="98">
        <f t="shared" ref="J137:K137" si="180">IF(J$129 = 0, 0, J105 / J$129)</f>
        <v>0</v>
      </c>
      <c r="K137" s="98">
        <f t="shared" si="180"/>
        <v>0</v>
      </c>
      <c r="L137" s="98">
        <f t="shared" ref="L137:M137" si="181">IF(L$129 = 0, 0, L105 / L$129)</f>
        <v>0</v>
      </c>
      <c r="M137" s="98">
        <f t="shared" si="181"/>
        <v>0</v>
      </c>
      <c r="N137" s="98">
        <f t="shared" ref="N137:P137" si="182">IF(N$129 = 0, 0, N105 / N$129)</f>
        <v>0</v>
      </c>
      <c r="O137" s="98">
        <f t="shared" si="182"/>
        <v>0</v>
      </c>
      <c r="P137" s="98">
        <f t="shared" si="182"/>
        <v>0</v>
      </c>
      <c r="Q137" s="98">
        <f t="shared" ref="Q137:S137" si="183">IF(Q$129 = 0, 0, Q105 / Q$129)</f>
        <v>0</v>
      </c>
      <c r="R137" s="98">
        <f t="shared" si="183"/>
        <v>0</v>
      </c>
      <c r="S137" s="98">
        <f t="shared" si="183"/>
        <v>0</v>
      </c>
      <c r="T137" s="98">
        <f t="shared" ref="T137:U137" si="184">IF(T$129 = 0, 0, T105 / T$129)</f>
        <v>0</v>
      </c>
      <c r="U137" s="98">
        <f t="shared" si="184"/>
        <v>0</v>
      </c>
      <c r="V137" s="98">
        <f t="shared" ref="V137:W137" si="185">IF(V$129 = 0, 0, V105 / V$129)</f>
        <v>0</v>
      </c>
      <c r="W137" s="98">
        <f t="shared" si="185"/>
        <v>0</v>
      </c>
      <c r="X137" s="98">
        <f t="shared" ref="X137:Y137" si="186">IF(X$129 = 0, 0, X105 / X$129)</f>
        <v>0</v>
      </c>
      <c r="Y137" s="98">
        <f t="shared" si="186"/>
        <v>0</v>
      </c>
    </row>
    <row r="138" spans="3:27" x14ac:dyDescent="0.25">
      <c r="C138" s="88"/>
      <c r="E138" s="29"/>
      <c r="F138" t="s">
        <v>196</v>
      </c>
      <c r="G138" t="s">
        <v>270</v>
      </c>
      <c r="J138" s="98">
        <f t="shared" ref="J138:K138" si="187">IF(J$129 = 0, 0, J106 / J$129)</f>
        <v>0</v>
      </c>
      <c r="K138" s="98">
        <f t="shared" si="187"/>
        <v>0</v>
      </c>
      <c r="L138" s="98">
        <f t="shared" ref="L138:M138" si="188">IF(L$129 = 0, 0, L106 / L$129)</f>
        <v>0</v>
      </c>
      <c r="M138" s="98">
        <f t="shared" si="188"/>
        <v>0</v>
      </c>
      <c r="N138" s="98">
        <f t="shared" ref="N138:P138" si="189">IF(N$129 = 0, 0, N106 / N$129)</f>
        <v>0</v>
      </c>
      <c r="O138" s="98">
        <f t="shared" si="189"/>
        <v>0</v>
      </c>
      <c r="P138" s="98">
        <f t="shared" si="189"/>
        <v>0</v>
      </c>
      <c r="Q138" s="98">
        <f t="shared" ref="Q138:S138" si="190">IF(Q$129 = 0, 0, Q106 / Q$129)</f>
        <v>0</v>
      </c>
      <c r="R138" s="98">
        <f t="shared" si="190"/>
        <v>0</v>
      </c>
      <c r="S138" s="98">
        <f t="shared" si="190"/>
        <v>0</v>
      </c>
      <c r="T138" s="98">
        <f t="shared" ref="T138:U138" si="191">IF(T$129 = 0, 0, T106 / T$129)</f>
        <v>0</v>
      </c>
      <c r="U138" s="98">
        <f t="shared" si="191"/>
        <v>0</v>
      </c>
      <c r="V138" s="98">
        <f t="shared" ref="V138:W138" si="192">IF(V$129 = 0, 0, V106 / V$129)</f>
        <v>0</v>
      </c>
      <c r="W138" s="98">
        <f t="shared" si="192"/>
        <v>0</v>
      </c>
      <c r="X138" s="98">
        <f t="shared" ref="X138:Y138" si="193">IF(X$129 = 0, 0, X106 / X$129)</f>
        <v>0</v>
      </c>
      <c r="Y138" s="98">
        <f t="shared" si="193"/>
        <v>0</v>
      </c>
    </row>
    <row r="139" spans="3:27" x14ac:dyDescent="0.25">
      <c r="C139" s="88"/>
      <c r="E139" s="29"/>
      <c r="F139" t="s">
        <v>197</v>
      </c>
      <c r="G139" t="s">
        <v>270</v>
      </c>
      <c r="J139" s="98">
        <f t="shared" ref="J139:K139" si="194">IF(J$129 = 0, 0, J107 / J$129)</f>
        <v>0</v>
      </c>
      <c r="K139" s="98">
        <f t="shared" si="194"/>
        <v>0</v>
      </c>
      <c r="L139" s="98">
        <f t="shared" ref="L139:M139" si="195">IF(L$129 = 0, 0, L107 / L$129)</f>
        <v>0</v>
      </c>
      <c r="M139" s="98">
        <f t="shared" si="195"/>
        <v>0</v>
      </c>
      <c r="N139" s="98">
        <f t="shared" ref="N139:P139" si="196">IF(N$129 = 0, 0, N107 / N$129)</f>
        <v>0</v>
      </c>
      <c r="O139" s="98">
        <f t="shared" si="196"/>
        <v>0</v>
      </c>
      <c r="P139" s="98">
        <f t="shared" si="196"/>
        <v>0</v>
      </c>
      <c r="Q139" s="98">
        <f t="shared" ref="Q139:S139" si="197">IF(Q$129 = 0, 0, Q107 / Q$129)</f>
        <v>0</v>
      </c>
      <c r="R139" s="98">
        <f t="shared" si="197"/>
        <v>0</v>
      </c>
      <c r="S139" s="98">
        <f t="shared" si="197"/>
        <v>0</v>
      </c>
      <c r="T139" s="98">
        <f t="shared" ref="T139:U139" si="198">IF(T$129 = 0, 0, T107 / T$129)</f>
        <v>0</v>
      </c>
      <c r="U139" s="98">
        <f t="shared" si="198"/>
        <v>0</v>
      </c>
      <c r="V139" s="98">
        <f t="shared" ref="V139:W139" si="199">IF(V$129 = 0, 0, V107 / V$129)</f>
        <v>0</v>
      </c>
      <c r="W139" s="98">
        <f t="shared" si="199"/>
        <v>0</v>
      </c>
      <c r="X139" s="98">
        <f t="shared" ref="X139:Y139" si="200">IF(X$129 = 0, 0, X107 / X$129)</f>
        <v>0</v>
      </c>
      <c r="Y139" s="98">
        <f t="shared" si="200"/>
        <v>0</v>
      </c>
    </row>
    <row r="140" spans="3:27" x14ac:dyDescent="0.25">
      <c r="C140" s="88"/>
      <c r="E140" s="29"/>
      <c r="F140" t="s">
        <v>198</v>
      </c>
      <c r="G140" t="s">
        <v>270</v>
      </c>
      <c r="J140" s="98">
        <f t="shared" ref="J140:K140" si="201">IF(J$129 = 0, 0, J108 / J$129)</f>
        <v>0</v>
      </c>
      <c r="K140" s="98">
        <f t="shared" si="201"/>
        <v>0</v>
      </c>
      <c r="L140" s="98">
        <f t="shared" ref="L140:M140" si="202">IF(L$129 = 0, 0, L108 / L$129)</f>
        <v>0</v>
      </c>
      <c r="M140" s="98">
        <f t="shared" si="202"/>
        <v>0</v>
      </c>
      <c r="N140" s="98">
        <f t="shared" ref="N140:P140" si="203">IF(N$129 = 0, 0, N108 / N$129)</f>
        <v>0</v>
      </c>
      <c r="O140" s="98">
        <f t="shared" si="203"/>
        <v>0</v>
      </c>
      <c r="P140" s="98">
        <f t="shared" si="203"/>
        <v>0</v>
      </c>
      <c r="Q140" s="98">
        <f t="shared" ref="Q140:S140" si="204">IF(Q$129 = 0, 0, Q108 / Q$129)</f>
        <v>0</v>
      </c>
      <c r="R140" s="98">
        <f t="shared" si="204"/>
        <v>0</v>
      </c>
      <c r="S140" s="98">
        <f t="shared" si="204"/>
        <v>0</v>
      </c>
      <c r="T140" s="98">
        <f t="shared" ref="T140:U140" si="205">IF(T$129 = 0, 0, T108 / T$129)</f>
        <v>0</v>
      </c>
      <c r="U140" s="98">
        <f t="shared" si="205"/>
        <v>0</v>
      </c>
      <c r="V140" s="98">
        <f t="shared" ref="V140:W140" si="206">IF(V$129 = 0, 0, V108 / V$129)</f>
        <v>0</v>
      </c>
      <c r="W140" s="98">
        <f t="shared" si="206"/>
        <v>0</v>
      </c>
      <c r="X140" s="98">
        <f t="shared" ref="X140:Y140" si="207">IF(X$129 = 0, 0, X108 / X$129)</f>
        <v>0</v>
      </c>
      <c r="Y140" s="98">
        <f t="shared" si="207"/>
        <v>0</v>
      </c>
    </row>
    <row r="141" spans="3:27" x14ac:dyDescent="0.25">
      <c r="C141" s="88"/>
      <c r="E141" s="29"/>
      <c r="F141" t="s">
        <v>199</v>
      </c>
      <c r="G141" t="s">
        <v>270</v>
      </c>
      <c r="J141" s="98">
        <f t="shared" ref="J141:K141" si="208">IF(J$129 = 0, 0, J109 / J$129)</f>
        <v>0.14624960346421603</v>
      </c>
      <c r="K141" s="98">
        <f t="shared" si="208"/>
        <v>0</v>
      </c>
      <c r="L141" s="98">
        <f t="shared" ref="L141:M141" si="209">IF(L$129 = 0, 0, L109 / L$129)</f>
        <v>0.14624960346421603</v>
      </c>
      <c r="M141" s="98">
        <f t="shared" si="209"/>
        <v>0</v>
      </c>
      <c r="N141" s="98">
        <f t="shared" ref="N141:P141" si="210">IF(N$129 = 0, 0, N109 / N$129)</f>
        <v>0</v>
      </c>
      <c r="O141" s="98">
        <f t="shared" si="210"/>
        <v>0</v>
      </c>
      <c r="P141" s="98">
        <f t="shared" si="210"/>
        <v>0</v>
      </c>
      <c r="Q141" s="98">
        <f t="shared" ref="Q141:S141" si="211">IF(Q$129 = 0, 0, Q109 / Q$129)</f>
        <v>0</v>
      </c>
      <c r="R141" s="98">
        <f t="shared" si="211"/>
        <v>0</v>
      </c>
      <c r="S141" s="98">
        <f t="shared" si="211"/>
        <v>0</v>
      </c>
      <c r="T141" s="98">
        <f t="shared" ref="T141:U141" si="212">IF(T$129 = 0, 0, T109 / T$129)</f>
        <v>0</v>
      </c>
      <c r="U141" s="98">
        <f t="shared" si="212"/>
        <v>0</v>
      </c>
      <c r="V141" s="98">
        <f t="shared" ref="V141:W141" si="213">IF(V$129 = 0, 0, V109 / V$129)</f>
        <v>0</v>
      </c>
      <c r="W141" s="98">
        <f t="shared" si="213"/>
        <v>0</v>
      </c>
      <c r="X141" s="98">
        <f t="shared" ref="X141:Y141" si="214">IF(X$129 = 0, 0, X109 / X$129)</f>
        <v>0</v>
      </c>
      <c r="Y141" s="98">
        <f t="shared" si="214"/>
        <v>0</v>
      </c>
    </row>
    <row r="142" spans="3:27" x14ac:dyDescent="0.25">
      <c r="C142" s="88"/>
      <c r="E142" s="29"/>
      <c r="F142" s="23" t="s">
        <v>376</v>
      </c>
      <c r="G142" s="23" t="s">
        <v>270</v>
      </c>
      <c r="H142" s="23"/>
      <c r="I142" s="23"/>
      <c r="J142" s="83"/>
      <c r="K142" s="83"/>
      <c r="L142" s="83"/>
      <c r="M142" s="83"/>
      <c r="N142" s="83"/>
      <c r="O142" s="83"/>
      <c r="P142" s="83"/>
      <c r="Q142" s="83"/>
      <c r="R142" s="83"/>
      <c r="S142" s="83"/>
      <c r="T142" s="83"/>
      <c r="U142" s="83"/>
      <c r="V142" s="83"/>
      <c r="W142" s="83"/>
      <c r="X142" s="83"/>
      <c r="Y142" s="83"/>
    </row>
    <row r="143" spans="3:27" x14ac:dyDescent="0.25">
      <c r="C143" s="88"/>
      <c r="E143" s="29"/>
      <c r="F143" s="37" t="s">
        <v>377</v>
      </c>
      <c r="G143" s="37" t="s">
        <v>270</v>
      </c>
      <c r="H143" s="37"/>
      <c r="I143" s="37"/>
      <c r="J143" s="81"/>
      <c r="K143" s="81"/>
      <c r="L143" s="81"/>
      <c r="M143" s="81"/>
      <c r="N143" s="81"/>
      <c r="O143" s="81"/>
      <c r="P143" s="81"/>
      <c r="Q143" s="81"/>
      <c r="R143" s="81"/>
      <c r="S143" s="81"/>
      <c r="T143" s="81"/>
      <c r="U143" s="81"/>
      <c r="V143" s="81"/>
      <c r="W143" s="81"/>
      <c r="X143" s="81"/>
      <c r="Y143" s="81"/>
    </row>
    <row r="144" spans="3:27" x14ac:dyDescent="0.25">
      <c r="C144" s="88"/>
      <c r="D144"/>
      <c r="E144" s="29"/>
      <c r="J144" s="89"/>
      <c r="K144" s="89"/>
      <c r="L144" s="89"/>
      <c r="M144" s="89"/>
      <c r="N144" s="89"/>
      <c r="O144" s="89"/>
      <c r="P144" s="89"/>
      <c r="Q144" s="89"/>
      <c r="R144" s="89"/>
      <c r="S144" s="89"/>
      <c r="T144" s="89"/>
      <c r="U144" s="89"/>
      <c r="V144" s="89"/>
      <c r="W144" s="89"/>
      <c r="X144" s="89"/>
      <c r="Y144" s="89"/>
    </row>
    <row r="145" spans="3:27" x14ac:dyDescent="0.25">
      <c r="C145" s="88"/>
      <c r="E145" s="32" t="s">
        <v>622</v>
      </c>
      <c r="J145" s="89"/>
      <c r="K145" s="89"/>
      <c r="L145" s="89"/>
      <c r="M145" s="89"/>
      <c r="N145" s="89"/>
      <c r="O145" s="89"/>
      <c r="P145" s="89"/>
      <c r="Q145" s="89"/>
      <c r="R145" s="89"/>
      <c r="S145" s="89"/>
      <c r="T145" s="89"/>
      <c r="U145" s="89"/>
      <c r="V145" s="89"/>
      <c r="W145" s="89"/>
      <c r="X145" s="89"/>
      <c r="Y145" s="89"/>
    </row>
    <row r="146" spans="3:27" x14ac:dyDescent="0.25">
      <c r="C146" s="88"/>
      <c r="F146" s="23" t="s">
        <v>189</v>
      </c>
      <c r="G146" s="23" t="s">
        <v>270</v>
      </c>
      <c r="H146" s="23"/>
      <c r="I146" s="23"/>
      <c r="J146" s="126">
        <f t="shared" ref="J146:K146" si="215">IF(J$129 = 0, 0, J114 / J$129)</f>
        <v>0</v>
      </c>
      <c r="K146" s="126">
        <f t="shared" si="215"/>
        <v>0</v>
      </c>
      <c r="L146" s="126">
        <f t="shared" ref="L146:M146" si="216">IF(L$129 = 0, 0, L114 / L$129)</f>
        <v>0</v>
      </c>
      <c r="M146" s="126">
        <f t="shared" si="216"/>
        <v>0</v>
      </c>
      <c r="N146" s="126">
        <f t="shared" ref="N146:P146" si="217">IF(N$129 = 0, 0, N114 / N$129)</f>
        <v>0</v>
      </c>
      <c r="O146" s="126">
        <f t="shared" si="217"/>
        <v>0</v>
      </c>
      <c r="P146" s="126">
        <f t="shared" si="217"/>
        <v>0</v>
      </c>
      <c r="Q146" s="126">
        <f t="shared" ref="Q146:S146" si="218">IF(Q$129 = 0, 0, Q114 / Q$129)</f>
        <v>0</v>
      </c>
      <c r="R146" s="126">
        <f t="shared" si="218"/>
        <v>0</v>
      </c>
      <c r="S146" s="126">
        <f t="shared" si="218"/>
        <v>0</v>
      </c>
      <c r="T146" s="126">
        <f t="shared" ref="T146:U146" si="219">IF(T$129 = 0, 0, T114 / T$129)</f>
        <v>0</v>
      </c>
      <c r="U146" s="126">
        <f t="shared" si="219"/>
        <v>0</v>
      </c>
      <c r="V146" s="126">
        <f t="shared" ref="V146:W146" si="220">IF(V$129 = 0, 0, V114 / V$129)</f>
        <v>0</v>
      </c>
      <c r="W146" s="126">
        <f t="shared" si="220"/>
        <v>0</v>
      </c>
      <c r="X146" s="126">
        <f t="shared" ref="X146:Y146" si="221">IF(X$129 = 0, 0, X114 / X$129)</f>
        <v>0</v>
      </c>
      <c r="Y146" s="126">
        <f t="shared" si="221"/>
        <v>0</v>
      </c>
    </row>
    <row r="147" spans="3:27" x14ac:dyDescent="0.25">
      <c r="C147" s="88"/>
      <c r="F147" t="s">
        <v>191</v>
      </c>
      <c r="G147" t="s">
        <v>270</v>
      </c>
      <c r="J147" s="98">
        <f t="shared" ref="J147:K147" si="222">IF(J$129 = 0, 0, J115 / J$129)</f>
        <v>0</v>
      </c>
      <c r="K147" s="98">
        <f t="shared" si="222"/>
        <v>0</v>
      </c>
      <c r="L147" s="98">
        <f t="shared" ref="L147:M147" si="223">IF(L$129 = 0, 0, L115 / L$129)</f>
        <v>0</v>
      </c>
      <c r="M147" s="98">
        <f t="shared" si="223"/>
        <v>0</v>
      </c>
      <c r="N147" s="98">
        <f t="shared" ref="N147:P147" si="224">IF(N$129 = 0, 0, N115 / N$129)</f>
        <v>0</v>
      </c>
      <c r="O147" s="98">
        <f t="shared" si="224"/>
        <v>0</v>
      </c>
      <c r="P147" s="98">
        <f t="shared" si="224"/>
        <v>0</v>
      </c>
      <c r="Q147" s="98">
        <f t="shared" ref="Q147:S147" si="225">IF(Q$129 = 0, 0, Q115 / Q$129)</f>
        <v>0</v>
      </c>
      <c r="R147" s="98">
        <f t="shared" si="225"/>
        <v>0</v>
      </c>
      <c r="S147" s="98">
        <f t="shared" si="225"/>
        <v>0</v>
      </c>
      <c r="T147" s="98">
        <f t="shared" ref="T147:U147" si="226">IF(T$129 = 0, 0, T115 / T$129)</f>
        <v>0</v>
      </c>
      <c r="U147" s="98">
        <f t="shared" si="226"/>
        <v>0</v>
      </c>
      <c r="V147" s="98">
        <f t="shared" ref="V147:W147" si="227">IF(V$129 = 0, 0, V115 / V$129)</f>
        <v>0</v>
      </c>
      <c r="W147" s="98">
        <f t="shared" si="227"/>
        <v>0</v>
      </c>
      <c r="X147" s="98">
        <f t="shared" ref="X147:Y147" si="228">IF(X$129 = 0, 0, X115 / X$129)</f>
        <v>0</v>
      </c>
      <c r="Y147" s="98">
        <f t="shared" si="228"/>
        <v>0</v>
      </c>
    </row>
    <row r="148" spans="3:27" x14ac:dyDescent="0.25">
      <c r="C148" s="88"/>
      <c r="F148" t="s">
        <v>192</v>
      </c>
      <c r="G148" t="s">
        <v>270</v>
      </c>
      <c r="J148" s="98">
        <f t="shared" ref="J148:K148" si="229">IF(J$129 = 0, 0, J116 / J$129)</f>
        <v>0</v>
      </c>
      <c r="K148" s="98">
        <f t="shared" si="229"/>
        <v>0</v>
      </c>
      <c r="L148" s="98">
        <f t="shared" ref="L148:M148" si="230">IF(L$129 = 0, 0, L116 / L$129)</f>
        <v>0</v>
      </c>
      <c r="M148" s="98">
        <f t="shared" si="230"/>
        <v>0</v>
      </c>
      <c r="N148" s="98">
        <f t="shared" ref="N148:P148" si="231">IF(N$129 = 0, 0, N116 / N$129)</f>
        <v>0</v>
      </c>
      <c r="O148" s="98">
        <f t="shared" si="231"/>
        <v>0</v>
      </c>
      <c r="P148" s="98">
        <f t="shared" si="231"/>
        <v>0</v>
      </c>
      <c r="Q148" s="98">
        <f t="shared" ref="Q148:S148" si="232">IF(Q$129 = 0, 0, Q116 / Q$129)</f>
        <v>0</v>
      </c>
      <c r="R148" s="98">
        <f t="shared" si="232"/>
        <v>0</v>
      </c>
      <c r="S148" s="98">
        <f t="shared" si="232"/>
        <v>0</v>
      </c>
      <c r="T148" s="98">
        <f t="shared" ref="T148:U148" si="233">IF(T$129 = 0, 0, T116 / T$129)</f>
        <v>0</v>
      </c>
      <c r="U148" s="98">
        <f t="shared" si="233"/>
        <v>0</v>
      </c>
      <c r="V148" s="98">
        <f t="shared" ref="V148:W148" si="234">IF(V$129 = 0, 0, V116 / V$129)</f>
        <v>0</v>
      </c>
      <c r="W148" s="98">
        <f t="shared" si="234"/>
        <v>0</v>
      </c>
      <c r="X148" s="98">
        <f t="shared" ref="X148:Y148" si="235">IF(X$129 = 0, 0, X116 / X$129)</f>
        <v>0</v>
      </c>
      <c r="Y148" s="98">
        <f t="shared" si="235"/>
        <v>0</v>
      </c>
    </row>
    <row r="149" spans="3:27" x14ac:dyDescent="0.25">
      <c r="C149" s="88"/>
      <c r="F149" t="s">
        <v>193</v>
      </c>
      <c r="G149" t="s">
        <v>270</v>
      </c>
      <c r="J149" s="98">
        <f t="shared" ref="J149:K149" si="236">IF(J$129 = 0, 0, J117 / J$129)</f>
        <v>0</v>
      </c>
      <c r="K149" s="98">
        <f t="shared" si="236"/>
        <v>0</v>
      </c>
      <c r="L149" s="98">
        <f t="shared" ref="L149:M149" si="237">IF(L$129 = 0, 0, L117 / L$129)</f>
        <v>0</v>
      </c>
      <c r="M149" s="98">
        <f t="shared" si="237"/>
        <v>0</v>
      </c>
      <c r="N149" s="98">
        <f t="shared" ref="N149:P149" si="238">IF(N$129 = 0, 0, N117 / N$129)</f>
        <v>0</v>
      </c>
      <c r="O149" s="98">
        <f t="shared" si="238"/>
        <v>0</v>
      </c>
      <c r="P149" s="98">
        <f t="shared" si="238"/>
        <v>0</v>
      </c>
      <c r="Q149" s="98">
        <f t="shared" ref="Q149:S149" si="239">IF(Q$129 = 0, 0, Q117 / Q$129)</f>
        <v>0</v>
      </c>
      <c r="R149" s="98">
        <f t="shared" si="239"/>
        <v>0</v>
      </c>
      <c r="S149" s="98">
        <f t="shared" si="239"/>
        <v>0</v>
      </c>
      <c r="T149" s="98">
        <f t="shared" ref="T149:U149" si="240">IF(T$129 = 0, 0, T117 / T$129)</f>
        <v>0</v>
      </c>
      <c r="U149" s="98">
        <f t="shared" si="240"/>
        <v>0</v>
      </c>
      <c r="V149" s="98">
        <f t="shared" ref="V149:W149" si="241">IF(V$129 = 0, 0, V117 / V$129)</f>
        <v>0</v>
      </c>
      <c r="W149" s="98">
        <f t="shared" si="241"/>
        <v>0</v>
      </c>
      <c r="X149" s="98">
        <f t="shared" ref="X149:Y149" si="242">IF(X$129 = 0, 0, X117 / X$129)</f>
        <v>0</v>
      </c>
      <c r="Y149" s="98">
        <f t="shared" si="242"/>
        <v>0</v>
      </c>
    </row>
    <row r="150" spans="3:27" x14ac:dyDescent="0.25">
      <c r="C150" s="88"/>
      <c r="F150" t="s">
        <v>194</v>
      </c>
      <c r="G150" t="s">
        <v>270</v>
      </c>
      <c r="J150" s="98">
        <f t="shared" ref="J150:K150" si="243">IF(J$129 = 0, 0, J118 / J$129)</f>
        <v>0</v>
      </c>
      <c r="K150" s="98">
        <f t="shared" si="243"/>
        <v>0</v>
      </c>
      <c r="L150" s="98">
        <f t="shared" ref="L150:M150" si="244">IF(L$129 = 0, 0, L118 / L$129)</f>
        <v>0</v>
      </c>
      <c r="M150" s="98">
        <f t="shared" si="244"/>
        <v>0</v>
      </c>
      <c r="N150" s="98">
        <f t="shared" ref="N150:P150" si="245">IF(N$129 = 0, 0, N118 / N$129)</f>
        <v>0</v>
      </c>
      <c r="O150" s="98">
        <f t="shared" si="245"/>
        <v>0</v>
      </c>
      <c r="P150" s="98">
        <f t="shared" si="245"/>
        <v>0</v>
      </c>
      <c r="Q150" s="98">
        <f t="shared" ref="Q150:S150" si="246">IF(Q$129 = 0, 0, Q118 / Q$129)</f>
        <v>0</v>
      </c>
      <c r="R150" s="98">
        <f t="shared" si="246"/>
        <v>0</v>
      </c>
      <c r="S150" s="98">
        <f t="shared" si="246"/>
        <v>0</v>
      </c>
      <c r="T150" s="98">
        <f t="shared" ref="T150:U150" si="247">IF(T$129 = 0, 0, T118 / T$129)</f>
        <v>0</v>
      </c>
      <c r="U150" s="98">
        <f t="shared" si="247"/>
        <v>0</v>
      </c>
      <c r="V150" s="98">
        <f t="shared" ref="V150:W150" si="248">IF(V$129 = 0, 0, V118 / V$129)</f>
        <v>0</v>
      </c>
      <c r="W150" s="98">
        <f t="shared" si="248"/>
        <v>0</v>
      </c>
      <c r="X150" s="98">
        <f t="shared" ref="X150:Y150" si="249">IF(X$129 = 0, 0, X118 / X$129)</f>
        <v>0</v>
      </c>
      <c r="Y150" s="98">
        <f t="shared" si="249"/>
        <v>0</v>
      </c>
    </row>
    <row r="151" spans="3:27" x14ac:dyDescent="0.25">
      <c r="C151" s="88"/>
      <c r="F151" t="s">
        <v>195</v>
      </c>
      <c r="G151" t="s">
        <v>270</v>
      </c>
      <c r="J151" s="98">
        <f t="shared" ref="J151:K151" si="250">IF(J$129 = 0, 0, J119 / J$129)</f>
        <v>0</v>
      </c>
      <c r="K151" s="98">
        <f t="shared" si="250"/>
        <v>0</v>
      </c>
      <c r="L151" s="98">
        <f t="shared" ref="L151:M151" si="251">IF(L$129 = 0, 0, L119 / L$129)</f>
        <v>0</v>
      </c>
      <c r="M151" s="98">
        <f t="shared" si="251"/>
        <v>0</v>
      </c>
      <c r="N151" s="98">
        <f t="shared" ref="N151:P151" si="252">IF(N$129 = 0, 0, N119 / N$129)</f>
        <v>0</v>
      </c>
      <c r="O151" s="98">
        <f t="shared" si="252"/>
        <v>0</v>
      </c>
      <c r="P151" s="98">
        <f t="shared" si="252"/>
        <v>0</v>
      </c>
      <c r="Q151" s="98">
        <f t="shared" ref="Q151:S151" si="253">IF(Q$129 = 0, 0, Q119 / Q$129)</f>
        <v>0</v>
      </c>
      <c r="R151" s="98">
        <f t="shared" si="253"/>
        <v>0</v>
      </c>
      <c r="S151" s="98">
        <f t="shared" si="253"/>
        <v>0</v>
      </c>
      <c r="T151" s="98">
        <f t="shared" ref="T151:U151" si="254">IF(T$129 = 0, 0, T119 / T$129)</f>
        <v>0</v>
      </c>
      <c r="U151" s="98">
        <f t="shared" si="254"/>
        <v>0</v>
      </c>
      <c r="V151" s="98">
        <f t="shared" ref="V151:W151" si="255">IF(V$129 = 0, 0, V119 / V$129)</f>
        <v>0</v>
      </c>
      <c r="W151" s="98">
        <f t="shared" si="255"/>
        <v>0</v>
      </c>
      <c r="X151" s="98">
        <f t="shared" ref="X151:Y151" si="256">IF(X$129 = 0, 0, X119 / X$129)</f>
        <v>0</v>
      </c>
      <c r="Y151" s="98">
        <f t="shared" si="256"/>
        <v>0</v>
      </c>
    </row>
    <row r="152" spans="3:27" x14ac:dyDescent="0.25">
      <c r="C152" s="88"/>
      <c r="F152" t="s">
        <v>196</v>
      </c>
      <c r="G152" t="s">
        <v>270</v>
      </c>
      <c r="J152" s="98">
        <f t="shared" ref="J152:K152" si="257">IF(J$129 = 0, 0, J120 / J$129)</f>
        <v>0</v>
      </c>
      <c r="K152" s="98">
        <f t="shared" si="257"/>
        <v>0</v>
      </c>
      <c r="L152" s="98">
        <f t="shared" ref="L152:M152" si="258">IF(L$129 = 0, 0, L120 / L$129)</f>
        <v>0</v>
      </c>
      <c r="M152" s="98">
        <f t="shared" si="258"/>
        <v>0</v>
      </c>
      <c r="N152" s="98">
        <f t="shared" ref="N152:P152" si="259">IF(N$129 = 0, 0, N120 / N$129)</f>
        <v>0</v>
      </c>
      <c r="O152" s="98">
        <f t="shared" si="259"/>
        <v>0</v>
      </c>
      <c r="P152" s="98">
        <f t="shared" si="259"/>
        <v>0</v>
      </c>
      <c r="Q152" s="98">
        <f t="shared" ref="Q152:S152" si="260">IF(Q$129 = 0, 0, Q120 / Q$129)</f>
        <v>0</v>
      </c>
      <c r="R152" s="98">
        <f t="shared" si="260"/>
        <v>0</v>
      </c>
      <c r="S152" s="98">
        <f t="shared" si="260"/>
        <v>0</v>
      </c>
      <c r="T152" s="98">
        <f t="shared" ref="T152:U152" si="261">IF(T$129 = 0, 0, T120 / T$129)</f>
        <v>0</v>
      </c>
      <c r="U152" s="98">
        <f t="shared" si="261"/>
        <v>0</v>
      </c>
      <c r="V152" s="98">
        <f t="shared" ref="V152:W152" si="262">IF(V$129 = 0, 0, V120 / V$129)</f>
        <v>0</v>
      </c>
      <c r="W152" s="98">
        <f t="shared" si="262"/>
        <v>0</v>
      </c>
      <c r="X152" s="98">
        <f t="shared" ref="X152:Y152" si="263">IF(X$129 = 0, 0, X120 / X$129)</f>
        <v>0</v>
      </c>
      <c r="Y152" s="98">
        <f t="shared" si="263"/>
        <v>0</v>
      </c>
    </row>
    <row r="153" spans="3:27" x14ac:dyDescent="0.25">
      <c r="C153" s="88"/>
      <c r="F153" t="s">
        <v>197</v>
      </c>
      <c r="G153" t="s">
        <v>270</v>
      </c>
      <c r="J153" s="98">
        <f t="shared" ref="J153:K153" si="264">IF(J$129 = 0, 0, J121 / J$129)</f>
        <v>0</v>
      </c>
      <c r="K153" s="98">
        <f t="shared" si="264"/>
        <v>0</v>
      </c>
      <c r="L153" s="98">
        <f t="shared" ref="L153:M153" si="265">IF(L$129 = 0, 0, L121 / L$129)</f>
        <v>0</v>
      </c>
      <c r="M153" s="98">
        <f t="shared" si="265"/>
        <v>0</v>
      </c>
      <c r="N153" s="98">
        <f t="shared" ref="N153:P153" si="266">IF(N$129 = 0, 0, N121 / N$129)</f>
        <v>0</v>
      </c>
      <c r="O153" s="98">
        <f t="shared" si="266"/>
        <v>0</v>
      </c>
      <c r="P153" s="98">
        <f t="shared" si="266"/>
        <v>0</v>
      </c>
      <c r="Q153" s="98">
        <f t="shared" ref="Q153:S153" si="267">IF(Q$129 = 0, 0, Q121 / Q$129)</f>
        <v>0</v>
      </c>
      <c r="R153" s="98">
        <f t="shared" si="267"/>
        <v>0</v>
      </c>
      <c r="S153" s="98">
        <f t="shared" si="267"/>
        <v>0</v>
      </c>
      <c r="T153" s="98">
        <f t="shared" ref="T153:U153" si="268">IF(T$129 = 0, 0, T121 / T$129)</f>
        <v>0</v>
      </c>
      <c r="U153" s="98">
        <f t="shared" si="268"/>
        <v>0</v>
      </c>
      <c r="V153" s="98">
        <f t="shared" ref="V153:W153" si="269">IF(V$129 = 0, 0, V121 / V$129)</f>
        <v>0</v>
      </c>
      <c r="W153" s="98">
        <f t="shared" si="269"/>
        <v>0</v>
      </c>
      <c r="X153" s="98">
        <f t="shared" ref="X153:Y153" si="270">IF(X$129 = 0, 0, X121 / X$129)</f>
        <v>0</v>
      </c>
      <c r="Y153" s="98">
        <f t="shared" si="270"/>
        <v>0</v>
      </c>
    </row>
    <row r="154" spans="3:27" x14ac:dyDescent="0.25">
      <c r="C154" s="88"/>
      <c r="F154" t="s">
        <v>198</v>
      </c>
      <c r="G154" t="s">
        <v>270</v>
      </c>
      <c r="J154" s="98">
        <f t="shared" ref="J154:K154" si="271">IF(J$129 = 0, 0, J122 / J$129)</f>
        <v>0</v>
      </c>
      <c r="K154" s="98">
        <f t="shared" si="271"/>
        <v>0</v>
      </c>
      <c r="L154" s="98">
        <f t="shared" ref="L154:M154" si="272">IF(L$129 = 0, 0, L122 / L$129)</f>
        <v>0</v>
      </c>
      <c r="M154" s="98">
        <f t="shared" si="272"/>
        <v>0</v>
      </c>
      <c r="N154" s="98">
        <f t="shared" ref="N154:P154" si="273">IF(N$129 = 0, 0, N122 / N$129)</f>
        <v>0</v>
      </c>
      <c r="O154" s="98">
        <f t="shared" si="273"/>
        <v>0</v>
      </c>
      <c r="P154" s="98">
        <f t="shared" si="273"/>
        <v>0</v>
      </c>
      <c r="Q154" s="98">
        <f t="shared" ref="Q154:S154" si="274">IF(Q$129 = 0, 0, Q122 / Q$129)</f>
        <v>0</v>
      </c>
      <c r="R154" s="98">
        <f t="shared" si="274"/>
        <v>0</v>
      </c>
      <c r="S154" s="98">
        <f t="shared" si="274"/>
        <v>0</v>
      </c>
      <c r="T154" s="98">
        <f t="shared" ref="T154:U154" si="275">IF(T$129 = 0, 0, T122 / T$129)</f>
        <v>0</v>
      </c>
      <c r="U154" s="98">
        <f t="shared" si="275"/>
        <v>0</v>
      </c>
      <c r="V154" s="98">
        <f t="shared" ref="V154:W154" si="276">IF(V$129 = 0, 0, V122 / V$129)</f>
        <v>0</v>
      </c>
      <c r="W154" s="98">
        <f t="shared" si="276"/>
        <v>0</v>
      </c>
      <c r="X154" s="98">
        <f t="shared" ref="X154:Y154" si="277">IF(X$129 = 0, 0, X122 / X$129)</f>
        <v>0</v>
      </c>
      <c r="Y154" s="98">
        <f t="shared" si="277"/>
        <v>0</v>
      </c>
    </row>
    <row r="155" spans="3:27" x14ac:dyDescent="0.25">
      <c r="C155" s="88"/>
      <c r="F155" t="s">
        <v>199</v>
      </c>
      <c r="G155" t="s">
        <v>270</v>
      </c>
      <c r="J155" s="98">
        <f t="shared" ref="J155:K155" si="278">IF(J$129 = 0, 0, J123 / J$129)</f>
        <v>1.5150983240359992</v>
      </c>
      <c r="K155" s="98">
        <f t="shared" si="278"/>
        <v>0</v>
      </c>
      <c r="L155" s="98">
        <f t="shared" ref="L155:M155" si="279">IF(L$129 = 0, 0, L123 / L$129)</f>
        <v>1.5150983240359992</v>
      </c>
      <c r="M155" s="98">
        <f t="shared" si="279"/>
        <v>0</v>
      </c>
      <c r="N155" s="98">
        <f t="shared" ref="N155:P155" si="280">IF(N$129 = 0, 0, N123 / N$129)</f>
        <v>0</v>
      </c>
      <c r="O155" s="98">
        <f t="shared" si="280"/>
        <v>0</v>
      </c>
      <c r="P155" s="98">
        <f t="shared" si="280"/>
        <v>0</v>
      </c>
      <c r="Q155" s="98">
        <f t="shared" ref="Q155:S155" si="281">IF(Q$129 = 0, 0, Q123 / Q$129)</f>
        <v>0</v>
      </c>
      <c r="R155" s="98">
        <f t="shared" si="281"/>
        <v>0</v>
      </c>
      <c r="S155" s="98">
        <f t="shared" si="281"/>
        <v>0</v>
      </c>
      <c r="T155" s="98">
        <f t="shared" ref="T155:U155" si="282">IF(T$129 = 0, 0, T123 / T$129)</f>
        <v>0</v>
      </c>
      <c r="U155" s="98">
        <f t="shared" si="282"/>
        <v>0</v>
      </c>
      <c r="V155" s="98">
        <f t="shared" ref="V155:W155" si="283">IF(V$129 = 0, 0, V123 / V$129)</f>
        <v>0</v>
      </c>
      <c r="W155" s="98">
        <f t="shared" si="283"/>
        <v>0</v>
      </c>
      <c r="X155" s="98">
        <f t="shared" ref="X155:Y155" si="284">IF(X$129 = 0, 0, X123 / X$129)</f>
        <v>0</v>
      </c>
      <c r="Y155" s="98">
        <f t="shared" si="284"/>
        <v>0</v>
      </c>
    </row>
    <row r="156" spans="3:27" x14ac:dyDescent="0.25">
      <c r="C156" s="88"/>
      <c r="D156"/>
      <c r="F156" s="23" t="s">
        <v>376</v>
      </c>
      <c r="G156" s="23" t="s">
        <v>270</v>
      </c>
      <c r="H156" s="23"/>
      <c r="I156" s="23"/>
      <c r="J156" s="126">
        <f t="shared" ref="J156:K156" si="285">J55</f>
        <v>1.9161024474482382</v>
      </c>
      <c r="K156" s="126">
        <f t="shared" si="285"/>
        <v>0</v>
      </c>
      <c r="L156" s="126">
        <f t="shared" ref="L156:M156" si="286">L55</f>
        <v>5.6182735010115907</v>
      </c>
      <c r="M156" s="126">
        <f t="shared" si="286"/>
        <v>0</v>
      </c>
      <c r="N156" s="126">
        <f t="shared" ref="N156:P156" si="287">N55</f>
        <v>11.209229102763059</v>
      </c>
      <c r="O156" s="126">
        <f t="shared" si="287"/>
        <v>8.750007900649587</v>
      </c>
      <c r="P156" s="126">
        <f t="shared" si="287"/>
        <v>0</v>
      </c>
      <c r="Q156" s="126">
        <f t="shared" ref="Q156:S156" si="288">Q55</f>
        <v>0</v>
      </c>
      <c r="R156" s="126">
        <f t="shared" si="288"/>
        <v>0</v>
      </c>
      <c r="S156" s="126">
        <f t="shared" si="288"/>
        <v>0</v>
      </c>
      <c r="T156" s="126">
        <f t="shared" ref="T156:U156" si="289">T55</f>
        <v>0</v>
      </c>
      <c r="U156" s="126">
        <f t="shared" si="289"/>
        <v>0</v>
      </c>
      <c r="V156" s="126">
        <f t="shared" ref="V156:W156" si="290">V55</f>
        <v>0</v>
      </c>
      <c r="W156" s="126">
        <f t="shared" si="290"/>
        <v>0</v>
      </c>
      <c r="X156" s="126">
        <f t="shared" ref="X156:Y156" si="291">X55</f>
        <v>0</v>
      </c>
      <c r="Y156" s="126">
        <f t="shared" si="291"/>
        <v>0</v>
      </c>
    </row>
    <row r="157" spans="3:27" x14ac:dyDescent="0.25">
      <c r="C157" s="88"/>
      <c r="D157"/>
      <c r="F157" s="37" t="s">
        <v>377</v>
      </c>
      <c r="G157" s="37" t="s">
        <v>270</v>
      </c>
      <c r="H157" s="37"/>
      <c r="I157" s="37"/>
      <c r="J157" s="100">
        <f t="shared" ref="J157:K157" si="292">J56</f>
        <v>0</v>
      </c>
      <c r="K157" s="100">
        <f t="shared" si="292"/>
        <v>0</v>
      </c>
      <c r="L157" s="100">
        <f t="shared" ref="L157:M157" si="293">L56</f>
        <v>0</v>
      </c>
      <c r="M157" s="100">
        <f t="shared" si="293"/>
        <v>0</v>
      </c>
      <c r="N157" s="100">
        <f t="shared" ref="N157:P157" si="294">N56</f>
        <v>0</v>
      </c>
      <c r="O157" s="100">
        <f t="shared" si="294"/>
        <v>0</v>
      </c>
      <c r="P157" s="100">
        <f t="shared" si="294"/>
        <v>80.778634860261405</v>
      </c>
      <c r="Q157" s="100">
        <f t="shared" ref="Q157:S157" si="295">Q56</f>
        <v>0</v>
      </c>
      <c r="R157" s="100">
        <f t="shared" si="295"/>
        <v>0</v>
      </c>
      <c r="S157" s="100">
        <f t="shared" si="295"/>
        <v>0</v>
      </c>
      <c r="T157" s="100">
        <f t="shared" ref="T157:U157" si="296">T56</f>
        <v>0</v>
      </c>
      <c r="U157" s="100">
        <f t="shared" si="296"/>
        <v>0</v>
      </c>
      <c r="V157" s="100">
        <f t="shared" ref="V157:W157" si="297">V56</f>
        <v>0</v>
      </c>
      <c r="W157" s="100">
        <f t="shared" si="297"/>
        <v>0</v>
      </c>
      <c r="X157" s="100">
        <f t="shared" ref="X157:Y157" si="298">X56</f>
        <v>50.554717600698972</v>
      </c>
      <c r="Y157" s="100">
        <f t="shared" si="298"/>
        <v>50.554717600698972</v>
      </c>
    </row>
    <row r="158" spans="3:27" x14ac:dyDescent="0.25">
      <c r="C158" s="88"/>
      <c r="J158" s="89"/>
      <c r="K158" s="89"/>
      <c r="L158" s="89"/>
      <c r="M158" s="89"/>
      <c r="N158" s="89"/>
      <c r="O158" s="89"/>
      <c r="P158" s="89"/>
      <c r="Q158" s="89"/>
      <c r="R158" s="89"/>
      <c r="S158" s="89"/>
      <c r="T158" s="89"/>
      <c r="U158" s="89"/>
      <c r="V158" s="89"/>
      <c r="W158" s="89"/>
      <c r="X158" s="89"/>
      <c r="Y158" s="89"/>
    </row>
    <row r="159" spans="3:27" x14ac:dyDescent="0.25">
      <c r="C159" s="31" t="str">
        <f ca="1">INDEX('Version control'!$H$34:$H$57,MATCH($A$1,'Version control'!$F$34:$F$57,0),1)&amp;"-H: Aggregated fixed charges"</f>
        <v>Section 114-H: Aggregated fixed charges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25">
      <c r="C160" s="88"/>
      <c r="J160" s="89"/>
      <c r="K160" s="89"/>
      <c r="L160" s="89"/>
      <c r="M160" s="89"/>
      <c r="N160" s="89"/>
      <c r="O160" s="89"/>
      <c r="P160" s="89"/>
      <c r="Q160" s="89"/>
      <c r="R160" s="89"/>
      <c r="S160" s="89"/>
      <c r="T160" s="89"/>
      <c r="U160" s="89"/>
      <c r="V160" s="89"/>
      <c r="W160" s="89"/>
      <c r="X160" s="89"/>
      <c r="Y160" s="89"/>
    </row>
    <row r="161" spans="2:27" x14ac:dyDescent="0.25">
      <c r="E161" t="s">
        <v>159</v>
      </c>
      <c r="G161" t="s">
        <v>270</v>
      </c>
      <c r="J161" s="121">
        <f t="shared" ref="J161:K161" si="299">SUM(J132:J143,J146:J157)</f>
        <v>3.5774503749484534</v>
      </c>
      <c r="K161" s="121">
        <f t="shared" si="299"/>
        <v>0</v>
      </c>
      <c r="L161" s="121">
        <f t="shared" ref="L161:M161" si="300">SUM(L132:L143,L146:L157)</f>
        <v>7.2796214285118062</v>
      </c>
      <c r="M161" s="121">
        <f t="shared" si="300"/>
        <v>0</v>
      </c>
      <c r="N161" s="121">
        <f t="shared" ref="N161:P161" si="301">SUM(N132:N143,N146:N157)</f>
        <v>11.209229102763059</v>
      </c>
      <c r="O161" s="121">
        <f t="shared" si="301"/>
        <v>8.750007900649587</v>
      </c>
      <c r="P161" s="121">
        <f t="shared" si="301"/>
        <v>80.778634860261405</v>
      </c>
      <c r="Q161" s="121">
        <f t="shared" ref="Q161:S161" si="302">SUM(Q132:Q143,Q146:Q157)</f>
        <v>0</v>
      </c>
      <c r="R161" s="121">
        <f t="shared" si="302"/>
        <v>0</v>
      </c>
      <c r="S161" s="121">
        <f t="shared" si="302"/>
        <v>0</v>
      </c>
      <c r="T161" s="121">
        <f t="shared" ref="T161:U161" si="303">SUM(T132:T143,T146:T157)</f>
        <v>0</v>
      </c>
      <c r="U161" s="121">
        <f t="shared" si="303"/>
        <v>0</v>
      </c>
      <c r="V161" s="121">
        <f t="shared" ref="V161:W161" si="304">SUM(V132:V143,V146:V157)</f>
        <v>0</v>
      </c>
      <c r="W161" s="121">
        <f t="shared" si="304"/>
        <v>0</v>
      </c>
      <c r="X161" s="121">
        <f t="shared" ref="X161" si="305">SUM(X132:X143,X146:X157)</f>
        <v>50.554717600698972</v>
      </c>
      <c r="Y161" s="121">
        <f>SUM(Y132:Y143,Y146:Y157)</f>
        <v>50.554717600698972</v>
      </c>
    </row>
    <row r="163" spans="2:27" x14ac:dyDescent="0.25">
      <c r="B163" s="30" t="s">
        <v>231</v>
      </c>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row>
    <row r="165" spans="2:27" x14ac:dyDescent="0.25">
      <c r="C165" s="88"/>
      <c r="E165" t="s">
        <v>232</v>
      </c>
      <c r="G165" s="6" t="s">
        <v>55</v>
      </c>
      <c r="H165" s="26">
        <f t="array" ref="H165">SUM(IF(ISERROR(H18:Y161), 1))</f>
        <v>0</v>
      </c>
    </row>
    <row r="167" spans="2:27" x14ac:dyDescent="0.25">
      <c r="B167" s="30" t="s">
        <v>106</v>
      </c>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row>
    <row r="169" spans="2:27" x14ac:dyDescent="0.25">
      <c r="C169" s="88"/>
    </row>
  </sheetData>
  <sheetProtection sheet="1" objects="1" formatCells="0" formatColumns="0" formatRows="0" sort="0" autoFilter="0"/>
  <conditionalFormatting sqref="H165">
    <cfRule type="cellIs" dxfId="49" priority="10" operator="greaterThan">
      <formula>0</formula>
    </cfRule>
  </conditionalFormatting>
  <conditionalFormatting sqref="A4:I4 Z4:XFD4">
    <cfRule type="expression" dxfId="48" priority="9">
      <formula>LEFT($A$4,1) &lt;&gt; "0"</formula>
    </cfRule>
  </conditionalFormatting>
  <conditionalFormatting sqref="N4:P4">
    <cfRule type="expression" dxfId="47" priority="8">
      <formula>LEFT($A$4,1) &lt;&gt; "0"</formula>
    </cfRule>
  </conditionalFormatting>
  <conditionalFormatting sqref="L4:M4">
    <cfRule type="expression" dxfId="46" priority="7">
      <formula>LEFT($A$4,1) &lt;&gt; "0"</formula>
    </cfRule>
  </conditionalFormatting>
  <conditionalFormatting sqref="J4:K4">
    <cfRule type="expression" dxfId="45" priority="6">
      <formula>LEFT($A$4,1) &lt;&gt; "0"</formula>
    </cfRule>
  </conditionalFormatting>
  <conditionalFormatting sqref="Q4">
    <cfRule type="expression" dxfId="44" priority="5">
      <formula>LEFT($A$4,1) &lt;&gt; "0"</formula>
    </cfRule>
  </conditionalFormatting>
  <conditionalFormatting sqref="R4:S4">
    <cfRule type="expression" dxfId="43" priority="4">
      <formula>LEFT($A$4,1) &lt;&gt; "0"</formula>
    </cfRule>
  </conditionalFormatting>
  <conditionalFormatting sqref="T4:U4">
    <cfRule type="expression" dxfId="42" priority="3">
      <formula>LEFT($A$4,1) &lt;&gt; "0"</formula>
    </cfRule>
  </conditionalFormatting>
  <conditionalFormatting sqref="V4:W4">
    <cfRule type="expression" dxfId="41" priority="2">
      <formula>LEFT($A$4,1) &lt;&gt; "0"</formula>
    </cfRule>
  </conditionalFormatting>
  <conditionalFormatting sqref="X4:Y4">
    <cfRule type="expression" dxfId="4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ON164"/>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outlineLevelRow="1" x14ac:dyDescent="0.25"/>
  <cols>
    <col min="1" max="3" width="2.5703125" customWidth="1"/>
    <col min="4" max="5" width="2.5703125" style="2" customWidth="1"/>
    <col min="6" max="6" width="59.5703125" customWidth="1"/>
    <col min="7" max="8" width="20.5703125" customWidth="1"/>
    <col min="9" max="9" width="2.42578125" customWidth="1"/>
    <col min="10" max="57" width="17" customWidth="1"/>
    <col min="58" max="58" width="2.42578125" customWidth="1"/>
    <col min="59" max="59" width="50.5703125" customWidth="1"/>
    <col min="60" max="60" width="2.42578125" customWidth="1"/>
    <col min="61" max="61" width="24.5703125" hidden="1" customWidth="1"/>
    <col min="62" max="62" width="3.5703125" hidden="1" customWidth="1"/>
    <col min="63" max="63" width="15.42578125" hidden="1" customWidth="1"/>
    <col min="64" max="404" width="24.5703125" hidden="1" customWidth="1"/>
    <col min="405" max="16384" width="8.5703125" hidden="1"/>
  </cols>
  <sheetData>
    <row r="1" spans="1:59" s="1" customFormat="1" x14ac:dyDescent="0.25">
      <c r="A1" s="1" t="str">
        <f ca="1">MID(CELL("filename",A1),FIND("]",CELL("filename",A1))+1,255)</f>
        <v>Revenue matching</v>
      </c>
    </row>
    <row r="2" spans="1:59" s="1" customFormat="1" x14ac:dyDescent="0.25">
      <c r="A2" s="1" t="str">
        <f>Cover!D21&amp;" - "&amp;Cover!D23</f>
        <v>WPD East Midlands - April 21 Prices</v>
      </c>
    </row>
    <row r="3" spans="1:59" s="5" customFormat="1" x14ac:dyDescent="0.25">
      <c r="A3" s="5" t="str">
        <f>Cover!D2&amp;" - "&amp;Cover!D8&amp;" v"&amp;Cover!D10&amp;" - "&amp;Cover!D19</f>
        <v>CDCM charging model - Release for charge setting v5 - 2021/22</v>
      </c>
    </row>
    <row r="4" spans="1:59" x14ac:dyDescent="0.25">
      <c r="A4" s="12" t="str">
        <f>H162 &amp; IF(H162 = 1, " issue", " issues") &amp;" identified in checks on this sheet"</f>
        <v>0 issues identified in checks on this sheet</v>
      </c>
      <c r="B4" s="13"/>
      <c r="C4" s="13"/>
      <c r="D4" s="13"/>
      <c r="E4" s="13"/>
      <c r="F4" s="13"/>
      <c r="G4" s="13"/>
      <c r="H4" s="14"/>
      <c r="I4" s="14"/>
    </row>
    <row r="5" spans="1:59" ht="60" x14ac:dyDescent="0.25">
      <c r="B5" s="59" t="s">
        <v>142</v>
      </c>
      <c r="C5" s="60"/>
      <c r="D5" s="60"/>
      <c r="E5" s="60"/>
      <c r="F5" s="60"/>
      <c r="G5" s="60" t="s">
        <v>143</v>
      </c>
      <c r="H5" s="114" t="s">
        <v>144</v>
      </c>
      <c r="J5" s="114" t="s">
        <v>940</v>
      </c>
      <c r="K5" s="114" t="s">
        <v>942</v>
      </c>
      <c r="L5" s="114" t="s">
        <v>941</v>
      </c>
      <c r="M5" s="114" t="s">
        <v>943</v>
      </c>
      <c r="N5" s="114" t="s">
        <v>949</v>
      </c>
      <c r="O5" s="114" t="s">
        <v>950</v>
      </c>
      <c r="P5" s="114" t="s">
        <v>951</v>
      </c>
      <c r="Q5" s="114" t="s">
        <v>952</v>
      </c>
      <c r="R5" s="114" t="s">
        <v>944</v>
      </c>
      <c r="S5" s="114" t="s">
        <v>945</v>
      </c>
      <c r="T5" s="114" t="s">
        <v>946</v>
      </c>
      <c r="U5" s="114" t="s">
        <v>955</v>
      </c>
      <c r="V5" s="114" t="s">
        <v>947</v>
      </c>
      <c r="W5" s="114" t="s">
        <v>954</v>
      </c>
      <c r="X5" s="114" t="s">
        <v>948</v>
      </c>
      <c r="Y5" s="114" t="s">
        <v>953</v>
      </c>
      <c r="BG5" s="61" t="s">
        <v>145</v>
      </c>
    </row>
    <row r="6" spans="1:59" x14ac:dyDescent="0.25">
      <c r="C6" s="88"/>
    </row>
    <row r="7" spans="1:59"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105"/>
      <c r="AC7" s="105"/>
      <c r="AD7" s="105"/>
      <c r="AE7" s="105"/>
      <c r="AF7" s="105"/>
      <c r="AG7" s="105"/>
      <c r="AH7" s="105"/>
      <c r="AI7" s="105"/>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row>
    <row r="9" spans="1:59" x14ac:dyDescent="0.25">
      <c r="D9" s="29" t="s">
        <v>730</v>
      </c>
    </row>
    <row r="10" spans="1:59" x14ac:dyDescent="0.25">
      <c r="D10" s="29" t="s">
        <v>731</v>
      </c>
      <c r="E10"/>
    </row>
    <row r="11" spans="1:59" x14ac:dyDescent="0.25">
      <c r="D11" s="29" t="s">
        <v>732</v>
      </c>
    </row>
    <row r="13" spans="1:59" x14ac:dyDescent="0.25">
      <c r="B13" s="30" t="s">
        <v>733</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105"/>
      <c r="AC13" s="105"/>
      <c r="AD13" s="105"/>
      <c r="AE13" s="105"/>
      <c r="AF13" s="105"/>
      <c r="AG13" s="105"/>
      <c r="AH13" s="105"/>
      <c r="AI13" s="105"/>
      <c r="AJ13" s="105"/>
      <c r="AK13" s="105"/>
      <c r="AL13" s="105"/>
      <c r="AM13" s="105"/>
      <c r="AN13" s="105"/>
      <c r="AO13" s="105"/>
      <c r="AP13" s="105"/>
      <c r="AQ13" s="105"/>
      <c r="AR13" s="105"/>
      <c r="AS13" s="105"/>
      <c r="AT13" s="105"/>
      <c r="AU13" s="105"/>
      <c r="AV13" s="105"/>
      <c r="AW13" s="105"/>
      <c r="AX13" s="105"/>
      <c r="AY13" s="105"/>
      <c r="AZ13" s="105"/>
      <c r="BA13" s="105"/>
      <c r="BB13" s="105"/>
      <c r="BC13" s="105"/>
      <c r="BD13" s="105"/>
      <c r="BE13" s="105"/>
      <c r="BF13" s="105"/>
      <c r="BG13" s="105"/>
    </row>
    <row r="14" spans="1:59" x14ac:dyDescent="0.25">
      <c r="C14" s="88"/>
    </row>
    <row r="15" spans="1:59" x14ac:dyDescent="0.25">
      <c r="C15" s="31" t="str">
        <f ca="1">INDEX('Version control'!$H$34:$H$57,MATCH($A$1,'Version control'!$F$34:$F$57,0),1)&amp;"-A: Inputs to revenue matching"</f>
        <v>Section 115-A: Inputs to revenue matching</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row>
    <row r="16" spans="1:59" x14ac:dyDescent="0.25">
      <c r="C16" s="29"/>
      <c r="J16" s="63"/>
      <c r="K16" s="63"/>
      <c r="L16" s="63"/>
      <c r="M16" s="63"/>
      <c r="N16" s="63"/>
      <c r="O16" s="63"/>
      <c r="P16" s="63"/>
      <c r="Q16" s="63"/>
      <c r="R16" s="63"/>
      <c r="S16" s="63"/>
      <c r="T16" s="63"/>
      <c r="U16" s="63"/>
      <c r="V16" s="63"/>
      <c r="W16" s="63"/>
      <c r="X16" s="63"/>
      <c r="Y16" s="63"/>
    </row>
    <row r="17" spans="4:59" x14ac:dyDescent="0.25">
      <c r="D17" s="29" t="s">
        <v>734</v>
      </c>
      <c r="F17" s="2"/>
    </row>
    <row r="18" spans="4:59" x14ac:dyDescent="0.25">
      <c r="D18" s="88"/>
      <c r="F18" s="2"/>
    </row>
    <row r="19" spans="4:59" x14ac:dyDescent="0.25">
      <c r="D19"/>
      <c r="E19" s="32" t="s">
        <v>735</v>
      </c>
      <c r="F19" s="32"/>
    </row>
    <row r="20" spans="4:59" x14ac:dyDescent="0.25">
      <c r="D20"/>
      <c r="E20" s="88"/>
      <c r="F20" s="23" t="s">
        <v>156</v>
      </c>
      <c r="G20" s="23" t="s">
        <v>269</v>
      </c>
      <c r="H20" s="267"/>
      <c r="I20" s="267"/>
      <c r="J20" s="283">
        <f>'Unit rate charges'!J217</f>
        <v>7.8691541236145142</v>
      </c>
      <c r="K20" s="283">
        <f>'Unit rate charges'!K217</f>
        <v>7.8691541236145142</v>
      </c>
      <c r="L20" s="283">
        <f>'Unit rate charges'!L217</f>
        <v>6.8165257676017825</v>
      </c>
      <c r="M20" s="283">
        <f>'Unit rate charges'!M217</f>
        <v>6.8165257676017825</v>
      </c>
      <c r="N20" s="283">
        <f>'Unit rate charges'!N217</f>
        <v>4.9279316341979271</v>
      </c>
      <c r="O20" s="283">
        <f>'Unit rate charges'!O217</f>
        <v>3.3100709696873514</v>
      </c>
      <c r="P20" s="283">
        <f>'Unit rate charges'!P217</f>
        <v>2.0294324650108937</v>
      </c>
      <c r="Q20" s="283">
        <f>'Unit rate charges'!Q217</f>
        <v>20.888686876550693</v>
      </c>
      <c r="R20" s="283">
        <f>'Unit rate charges'!R217</f>
        <v>-4.752126966792952</v>
      </c>
      <c r="S20" s="283">
        <f>'Unit rate charges'!S217</f>
        <v>-4.1687283895347562</v>
      </c>
      <c r="T20" s="283">
        <f>'Unit rate charges'!T217</f>
        <v>-4.752126966792952</v>
      </c>
      <c r="U20" s="283">
        <f>'Unit rate charges'!U217</f>
        <v>-4.752126966792952</v>
      </c>
      <c r="V20" s="283">
        <f>'Unit rate charges'!V217</f>
        <v>-4.1687283895347562</v>
      </c>
      <c r="W20" s="283">
        <f>'Unit rate charges'!W217</f>
        <v>-4.1687283895347562</v>
      </c>
      <c r="X20" s="283">
        <f>'Unit rate charges'!X217</f>
        <v>-2.7260556362386072</v>
      </c>
      <c r="Y20" s="283">
        <f>'Unit rate charges'!Y217</f>
        <v>-2.7260556362386072</v>
      </c>
      <c r="Z20" s="269"/>
      <c r="AA20" s="269"/>
      <c r="AB20" s="269"/>
      <c r="AC20" s="269"/>
      <c r="AD20" s="269"/>
      <c r="AE20" s="269"/>
      <c r="AF20" s="269"/>
      <c r="AG20" s="269"/>
      <c r="AH20" s="269"/>
      <c r="AI20" s="269"/>
      <c r="AJ20" s="269"/>
      <c r="AK20" s="269"/>
      <c r="AL20" s="269"/>
      <c r="AM20" s="269"/>
      <c r="AN20" s="269"/>
      <c r="AO20" s="269"/>
      <c r="AP20" s="269"/>
      <c r="AQ20" s="269"/>
      <c r="AR20" s="269"/>
      <c r="AS20" s="269"/>
      <c r="AT20" s="269"/>
      <c r="AU20" s="269"/>
      <c r="AV20" s="269"/>
      <c r="AW20" s="269"/>
      <c r="AX20" s="269"/>
      <c r="AY20" s="269"/>
      <c r="AZ20" s="269"/>
      <c r="BA20" s="269"/>
      <c r="BB20" s="269"/>
      <c r="BC20" s="269"/>
      <c r="BD20" s="269"/>
      <c r="BE20" s="269"/>
      <c r="BF20" s="269"/>
      <c r="BG20" s="269"/>
    </row>
    <row r="21" spans="4:59" x14ac:dyDescent="0.25">
      <c r="D21"/>
      <c r="E21" s="88"/>
      <c r="F21" t="s">
        <v>157</v>
      </c>
      <c r="G21" t="s">
        <v>269</v>
      </c>
      <c r="H21" s="269"/>
      <c r="I21" s="269"/>
      <c r="J21" s="284">
        <f>'Unit rate charges'!J218</f>
        <v>0.99456313995064261</v>
      </c>
      <c r="K21" s="284">
        <f>'Unit rate charges'!K218</f>
        <v>0.99456313995064261</v>
      </c>
      <c r="L21" s="284">
        <f>'Unit rate charges'!L218</f>
        <v>0.86152401700152526</v>
      </c>
      <c r="M21" s="284">
        <f>'Unit rate charges'!M218</f>
        <v>0.86152401700152526</v>
      </c>
      <c r="N21" s="284">
        <f>'Unit rate charges'!N218</f>
        <v>0.59969852693012982</v>
      </c>
      <c r="O21" s="284">
        <f>'Unit rate charges'!O218</f>
        <v>0.3685087304672886</v>
      </c>
      <c r="P21" s="284">
        <f>'Unit rate charges'!P218</f>
        <v>0.19154306505018537</v>
      </c>
      <c r="Q21" s="284">
        <f>'Unit rate charges'!Q218</f>
        <v>1.6138430534096508</v>
      </c>
      <c r="R21" s="284">
        <f>'Unit rate charges'!R218</f>
        <v>-0.6006097025542575</v>
      </c>
      <c r="S21" s="284">
        <f>'Unit rate charges'!S218</f>
        <v>-0.51495336021881366</v>
      </c>
      <c r="T21" s="284">
        <f>'Unit rate charges'!T218</f>
        <v>-0.6006097025542575</v>
      </c>
      <c r="U21" s="284">
        <f>'Unit rate charges'!U218</f>
        <v>-0.6006097025542575</v>
      </c>
      <c r="V21" s="284">
        <f>'Unit rate charges'!V218</f>
        <v>-0.51495336021881366</v>
      </c>
      <c r="W21" s="284">
        <f>'Unit rate charges'!W218</f>
        <v>-0.51495336021881366</v>
      </c>
      <c r="X21" s="284">
        <f>'Unit rate charges'!X218</f>
        <v>-0.29638866966229255</v>
      </c>
      <c r="Y21" s="284">
        <f>'Unit rate charges'!Y218</f>
        <v>-0.29638866966229255</v>
      </c>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69"/>
      <c r="AY21" s="269"/>
      <c r="AZ21" s="269"/>
      <c r="BA21" s="269"/>
      <c r="BB21" s="269"/>
      <c r="BC21" s="269"/>
      <c r="BD21" s="269"/>
      <c r="BE21" s="269"/>
      <c r="BF21" s="269"/>
      <c r="BG21" s="269"/>
    </row>
    <row r="22" spans="4:59" x14ac:dyDescent="0.25">
      <c r="D22"/>
      <c r="E22" s="88"/>
      <c r="F22" t="s">
        <v>158</v>
      </c>
      <c r="G22" t="s">
        <v>269</v>
      </c>
      <c r="H22" s="269"/>
      <c r="I22" s="269"/>
      <c r="J22" s="284">
        <f>'Unit rate charges'!J219</f>
        <v>6.1367116408771211E-2</v>
      </c>
      <c r="K22" s="284">
        <f>'Unit rate charges'!K219</f>
        <v>6.1367116408771211E-2</v>
      </c>
      <c r="L22" s="284">
        <f>'Unit rate charges'!L219</f>
        <v>5.3158258653048969E-2</v>
      </c>
      <c r="M22" s="284">
        <f>'Unit rate charges'!M219</f>
        <v>5.3158258653048969E-2</v>
      </c>
      <c r="N22" s="284">
        <f>'Unit rate charges'!N219</f>
        <v>3.6091446122796002E-2</v>
      </c>
      <c r="O22" s="284">
        <f>'Unit rate charges'!O219</f>
        <v>2.0773794392874644E-2</v>
      </c>
      <c r="P22" s="284">
        <f>'Unit rate charges'!P219</f>
        <v>9.2689579954535039E-3</v>
      </c>
      <c r="Q22" s="284">
        <f>'Unit rate charges'!Q219</f>
        <v>0.84689138056547619</v>
      </c>
      <c r="R22" s="284">
        <f>'Unit rate charges'!R219</f>
        <v>-3.7059171059480152E-2</v>
      </c>
      <c r="S22" s="284">
        <f>'Unit rate charges'!S219</f>
        <v>-3.1304146471503695E-2</v>
      </c>
      <c r="T22" s="284">
        <f>'Unit rate charges'!T219</f>
        <v>-3.7059171059480152E-2</v>
      </c>
      <c r="U22" s="284">
        <f>'Unit rate charges'!U219</f>
        <v>-3.7059171059480152E-2</v>
      </c>
      <c r="V22" s="284">
        <f>'Unit rate charges'!V219</f>
        <v>-3.1304146471503695E-2</v>
      </c>
      <c r="W22" s="284">
        <f>'Unit rate charges'!W219</f>
        <v>-3.1304146471503695E-2</v>
      </c>
      <c r="X22" s="284">
        <f>'Unit rate charges'!X219</f>
        <v>-1.6392243650649556E-2</v>
      </c>
      <c r="Y22" s="284">
        <f>'Unit rate charges'!Y219</f>
        <v>-1.6392243650649556E-2</v>
      </c>
      <c r="Z22" s="269"/>
      <c r="AA22" s="269"/>
      <c r="AB22" s="269"/>
      <c r="AC22" s="269"/>
      <c r="AD22" s="269"/>
      <c r="AE22" s="269"/>
      <c r="AF22" s="269"/>
      <c r="AG22" s="269"/>
      <c r="AH22" s="269"/>
      <c r="AI22" s="269"/>
      <c r="AJ22" s="269"/>
      <c r="AK22" s="269"/>
      <c r="AL22" s="269"/>
      <c r="AM22" s="269"/>
      <c r="AN22" s="269"/>
      <c r="AO22" s="269"/>
      <c r="AP22" s="269"/>
      <c r="AQ22" s="269"/>
      <c r="AR22" s="269"/>
      <c r="AS22" s="269"/>
      <c r="AT22" s="269"/>
      <c r="AU22" s="269"/>
      <c r="AV22" s="269"/>
      <c r="AW22" s="269"/>
      <c r="AX22" s="269"/>
      <c r="AY22" s="269"/>
      <c r="AZ22" s="269"/>
      <c r="BA22" s="269"/>
      <c r="BB22" s="269"/>
      <c r="BC22" s="269"/>
      <c r="BD22" s="269"/>
      <c r="BE22" s="269"/>
      <c r="BF22" s="269"/>
      <c r="BG22" s="269"/>
    </row>
    <row r="23" spans="4:59" x14ac:dyDescent="0.25">
      <c r="D23"/>
      <c r="E23" s="88"/>
      <c r="F23" t="s">
        <v>159</v>
      </c>
      <c r="G23" t="s">
        <v>270</v>
      </c>
      <c r="J23" s="120">
        <f>'Fixed charges'!J161</f>
        <v>3.5774503749484534</v>
      </c>
      <c r="K23" s="120">
        <f>'Fixed charges'!K161</f>
        <v>0</v>
      </c>
      <c r="L23" s="120">
        <f>'Fixed charges'!L161</f>
        <v>7.2796214285118062</v>
      </c>
      <c r="M23" s="120">
        <f>'Fixed charges'!M161</f>
        <v>0</v>
      </c>
      <c r="N23" s="120">
        <f>'Fixed charges'!N161</f>
        <v>11.209229102763059</v>
      </c>
      <c r="O23" s="120">
        <f>'Fixed charges'!O161</f>
        <v>8.750007900649587</v>
      </c>
      <c r="P23" s="120">
        <f>'Fixed charges'!P161</f>
        <v>80.778634860261405</v>
      </c>
      <c r="Q23" s="120">
        <f>'Fixed charges'!Q161</f>
        <v>0</v>
      </c>
      <c r="R23" s="120">
        <f>'Fixed charges'!R161</f>
        <v>0</v>
      </c>
      <c r="S23" s="120">
        <f>'Fixed charges'!S161</f>
        <v>0</v>
      </c>
      <c r="T23" s="120">
        <f>'Fixed charges'!T161</f>
        <v>0</v>
      </c>
      <c r="U23" s="120">
        <f>'Fixed charges'!U161</f>
        <v>0</v>
      </c>
      <c r="V23" s="120">
        <f>'Fixed charges'!V161</f>
        <v>0</v>
      </c>
      <c r="W23" s="120">
        <f>'Fixed charges'!W161</f>
        <v>0</v>
      </c>
      <c r="X23" s="120">
        <f>'Fixed charges'!X161</f>
        <v>50.554717600698972</v>
      </c>
      <c r="Y23" s="120">
        <f>'Fixed charges'!Y161</f>
        <v>50.554717600698972</v>
      </c>
    </row>
    <row r="24" spans="4:59" x14ac:dyDescent="0.25">
      <c r="D24"/>
      <c r="E24" s="88"/>
      <c r="F24" t="s">
        <v>160</v>
      </c>
      <c r="G24" t="s">
        <v>271</v>
      </c>
      <c r="J24" s="120">
        <f>'Capacity charges'!J256</f>
        <v>0</v>
      </c>
      <c r="K24" s="120">
        <f>'Capacity charges'!K256</f>
        <v>0</v>
      </c>
      <c r="L24" s="120">
        <f>'Capacity charges'!L256</f>
        <v>0</v>
      </c>
      <c r="M24" s="120">
        <f>'Capacity charges'!M256</f>
        <v>0</v>
      </c>
      <c r="N24" s="120">
        <f>'Capacity charges'!N256</f>
        <v>2.9022773697333371</v>
      </c>
      <c r="O24" s="120">
        <f>'Capacity charges'!O256</f>
        <v>3.5192649102564451</v>
      </c>
      <c r="P24" s="120">
        <f>'Capacity charges'!P256</f>
        <v>4.2758402624206795</v>
      </c>
      <c r="Q24" s="120">
        <f>'Capacity charges'!Q256</f>
        <v>0</v>
      </c>
      <c r="R24" s="120">
        <f>'Capacity charges'!R256</f>
        <v>0</v>
      </c>
      <c r="S24" s="120">
        <f>'Capacity charges'!S256</f>
        <v>0</v>
      </c>
      <c r="T24" s="120">
        <f>'Capacity charges'!T256</f>
        <v>0</v>
      </c>
      <c r="U24" s="120">
        <f>'Capacity charges'!U256</f>
        <v>0</v>
      </c>
      <c r="V24" s="120">
        <f>'Capacity charges'!V256</f>
        <v>0</v>
      </c>
      <c r="W24" s="120">
        <f>'Capacity charges'!W256</f>
        <v>0</v>
      </c>
      <c r="X24" s="120">
        <f>'Capacity charges'!X256</f>
        <v>0</v>
      </c>
      <c r="Y24" s="120">
        <f>'Capacity charges'!Y256</f>
        <v>0</v>
      </c>
    </row>
    <row r="25" spans="4:59" x14ac:dyDescent="0.25">
      <c r="D25"/>
      <c r="E25" s="88"/>
      <c r="F25" t="s">
        <v>161</v>
      </c>
      <c r="G25" t="s">
        <v>271</v>
      </c>
      <c r="J25" s="120">
        <f>'Capacity charges'!J257</f>
        <v>0</v>
      </c>
      <c r="K25" s="120">
        <f>'Capacity charges'!K257</f>
        <v>0</v>
      </c>
      <c r="L25" s="120">
        <f>'Capacity charges'!L257</f>
        <v>0</v>
      </c>
      <c r="M25" s="120">
        <f>'Capacity charges'!M257</f>
        <v>0</v>
      </c>
      <c r="N25" s="120">
        <f>'Capacity charges'!N257</f>
        <v>5.7538465988133698</v>
      </c>
      <c r="O25" s="120">
        <f>'Capacity charges'!O257</f>
        <v>5.3097024839345712</v>
      </c>
      <c r="P25" s="120">
        <f>'Capacity charges'!P257</f>
        <v>6.1842114491768658</v>
      </c>
      <c r="Q25" s="120">
        <f>'Capacity charges'!Q257</f>
        <v>0</v>
      </c>
      <c r="R25" s="120">
        <f>'Capacity charges'!R257</f>
        <v>0</v>
      </c>
      <c r="S25" s="120">
        <f>'Capacity charges'!S257</f>
        <v>0</v>
      </c>
      <c r="T25" s="120">
        <f>'Capacity charges'!T257</f>
        <v>0</v>
      </c>
      <c r="U25" s="120">
        <f>'Capacity charges'!U257</f>
        <v>0</v>
      </c>
      <c r="V25" s="120">
        <f>'Capacity charges'!V257</f>
        <v>0</v>
      </c>
      <c r="W25" s="120">
        <f>'Capacity charges'!W257</f>
        <v>0</v>
      </c>
      <c r="X25" s="120">
        <f>'Capacity charges'!X257</f>
        <v>0</v>
      </c>
      <c r="Y25" s="120">
        <f>'Capacity charges'!Y257</f>
        <v>0</v>
      </c>
    </row>
    <row r="26" spans="4:59" x14ac:dyDescent="0.25">
      <c r="D26"/>
      <c r="E26" s="88"/>
      <c r="F26" s="37" t="s">
        <v>162</v>
      </c>
      <c r="G26" s="37" t="s">
        <v>272</v>
      </c>
      <c r="H26" s="273"/>
      <c r="I26" s="273"/>
      <c r="J26" s="288">
        <f>'Reactive power charges'!J250</f>
        <v>0</v>
      </c>
      <c r="K26" s="288">
        <f>'Reactive power charges'!K250</f>
        <v>0</v>
      </c>
      <c r="L26" s="288">
        <f>'Reactive power charges'!L250</f>
        <v>0</v>
      </c>
      <c r="M26" s="288">
        <f>'Reactive power charges'!M250</f>
        <v>0</v>
      </c>
      <c r="N26" s="288">
        <f>'Reactive power charges'!N250</f>
        <v>0.15692255620699452</v>
      </c>
      <c r="O26" s="288">
        <f>'Reactive power charges'!O250</f>
        <v>0.11131765254811224</v>
      </c>
      <c r="P26" s="288">
        <f>'Reactive power charges'!P250</f>
        <v>5.7053720558470841E-2</v>
      </c>
      <c r="Q26" s="288">
        <f>'Reactive power charges'!Q250</f>
        <v>0</v>
      </c>
      <c r="R26" s="288">
        <f>'Reactive power charges'!R250</f>
        <v>0</v>
      </c>
      <c r="S26" s="288">
        <f>'Reactive power charges'!S250</f>
        <v>0</v>
      </c>
      <c r="T26" s="288">
        <f>'Reactive power charges'!T250</f>
        <v>0.15558506248767914</v>
      </c>
      <c r="U26" s="288">
        <f>'Reactive power charges'!U250</f>
        <v>0</v>
      </c>
      <c r="V26" s="288">
        <f>'Reactive power charges'!V250</f>
        <v>0.13073382681730653</v>
      </c>
      <c r="W26" s="288">
        <f>'Reactive power charges'!W250</f>
        <v>0</v>
      </c>
      <c r="X26" s="288">
        <f>'Reactive power charges'!X250</f>
        <v>0.10505458869968366</v>
      </c>
      <c r="Y26" s="288">
        <f>'Reactive power charges'!Y250</f>
        <v>0</v>
      </c>
      <c r="Z26" s="269"/>
      <c r="AA26" s="269"/>
      <c r="AB26" s="269"/>
      <c r="AC26" s="269"/>
      <c r="AD26" s="269"/>
      <c r="AE26" s="269"/>
      <c r="AF26" s="269"/>
      <c r="AG26" s="269"/>
      <c r="AH26" s="269"/>
      <c r="AI26" s="269"/>
      <c r="AJ26" s="269"/>
      <c r="AK26" s="269"/>
      <c r="AL26" s="269"/>
      <c r="AM26" s="269"/>
      <c r="AN26" s="269"/>
      <c r="AO26" s="269"/>
      <c r="AP26" s="269"/>
      <c r="AQ26" s="269"/>
      <c r="AR26" s="269"/>
      <c r="AS26" s="269"/>
      <c r="AT26" s="269"/>
      <c r="AU26" s="269"/>
      <c r="AV26" s="269"/>
      <c r="AW26" s="269"/>
      <c r="AX26" s="269"/>
      <c r="AY26" s="269"/>
      <c r="AZ26" s="269"/>
      <c r="BA26" s="269"/>
      <c r="BB26" s="269"/>
      <c r="BC26" s="269"/>
      <c r="BD26" s="269"/>
      <c r="BE26" s="269"/>
      <c r="BF26" s="269"/>
      <c r="BG26" s="269"/>
    </row>
    <row r="27" spans="4:59" x14ac:dyDescent="0.25">
      <c r="D27"/>
      <c r="E27" s="88"/>
      <c r="J27" s="89"/>
      <c r="K27" s="89"/>
      <c r="L27" s="89"/>
      <c r="M27" s="89"/>
      <c r="N27" s="89"/>
      <c r="O27" s="89"/>
      <c r="P27" s="89"/>
      <c r="Q27" s="89"/>
      <c r="R27" s="89"/>
      <c r="S27" s="89"/>
      <c r="T27" s="89"/>
      <c r="U27" s="89"/>
      <c r="V27" s="89"/>
      <c r="W27" s="89"/>
      <c r="X27" s="89"/>
      <c r="Y27" s="89"/>
    </row>
    <row r="28" spans="4:59" x14ac:dyDescent="0.25">
      <c r="D28"/>
      <c r="E28" s="32" t="s">
        <v>736</v>
      </c>
      <c r="J28" s="89"/>
      <c r="K28" s="89"/>
      <c r="L28" s="89"/>
      <c r="M28" s="89"/>
      <c r="N28" s="89"/>
      <c r="O28" s="89"/>
      <c r="P28" s="89"/>
      <c r="Q28" s="89"/>
      <c r="R28" s="89"/>
      <c r="S28" s="89"/>
      <c r="T28" s="89"/>
      <c r="U28" s="89"/>
      <c r="V28" s="89"/>
      <c r="W28" s="89"/>
      <c r="X28" s="89"/>
      <c r="Y28" s="89"/>
    </row>
    <row r="29" spans="4:59" x14ac:dyDescent="0.25">
      <c r="D29" s="88"/>
      <c r="F29" s="23" t="s">
        <v>156</v>
      </c>
      <c r="G29" s="23" t="s">
        <v>207</v>
      </c>
      <c r="H29" s="23"/>
      <c r="I29" s="23"/>
      <c r="J29" s="124">
        <f>'Volume adjustments'!J66</f>
        <v>995604.37579133769</v>
      </c>
      <c r="K29" s="124">
        <f>'Volume adjustments'!K66</f>
        <v>844.76303646099564</v>
      </c>
      <c r="L29" s="124">
        <f>'Volume adjustments'!L66</f>
        <v>328562.10394094384</v>
      </c>
      <c r="M29" s="124">
        <f>'Volume adjustments'!M66</f>
        <v>29.861394683968697</v>
      </c>
      <c r="N29" s="124">
        <f>'Volume adjustments'!N66</f>
        <v>347180.92198321945</v>
      </c>
      <c r="O29" s="124">
        <f>'Volume adjustments'!O66</f>
        <v>28854.519217997538</v>
      </c>
      <c r="P29" s="124">
        <f>'Volume adjustments'!P66</f>
        <v>692748.3888782725</v>
      </c>
      <c r="Q29" s="124">
        <f>'Volume adjustments'!Q66</f>
        <v>9808.580008541272</v>
      </c>
      <c r="R29" s="124">
        <f>'Volume adjustments'!R66</f>
        <v>113.28039016895981</v>
      </c>
      <c r="S29" s="124">
        <f>'Volume adjustments'!S66</f>
        <v>0</v>
      </c>
      <c r="T29" s="124">
        <f>'Volume adjustments'!T66</f>
        <v>4553.188877237757</v>
      </c>
      <c r="U29" s="124">
        <f>'Volume adjustments'!U66</f>
        <v>0</v>
      </c>
      <c r="V29" s="124">
        <f>'Volume adjustments'!V66</f>
        <v>615.06552578097023</v>
      </c>
      <c r="W29" s="124">
        <f>'Volume adjustments'!W66</f>
        <v>0</v>
      </c>
      <c r="X29" s="124">
        <f>'Volume adjustments'!X66</f>
        <v>229961.87994000159</v>
      </c>
      <c r="Y29" s="124">
        <f>'Volume adjustments'!Y66</f>
        <v>0</v>
      </c>
    </row>
    <row r="30" spans="4:59" x14ac:dyDescent="0.25">
      <c r="D30" s="88"/>
      <c r="F30" t="s">
        <v>157</v>
      </c>
      <c r="G30" t="s">
        <v>207</v>
      </c>
      <c r="J30" s="120">
        <f>'Volume adjustments'!J77</f>
        <v>2948496.3431510031</v>
      </c>
      <c r="K30" s="120">
        <f>'Volume adjustments'!K77</f>
        <v>5440.3358304795011</v>
      </c>
      <c r="L30" s="120">
        <f>'Volume adjustments'!L77</f>
        <v>1353711.1758886508</v>
      </c>
      <c r="M30" s="120">
        <f>'Volume adjustments'!M77</f>
        <v>464.08328869228717</v>
      </c>
      <c r="N30" s="120">
        <f>'Volume adjustments'!N77</f>
        <v>1461933.0859632664</v>
      </c>
      <c r="O30" s="120">
        <f>'Volume adjustments'!O77</f>
        <v>107141.34606800493</v>
      </c>
      <c r="P30" s="120">
        <f>'Volume adjustments'!P77</f>
        <v>2644422.1226810566</v>
      </c>
      <c r="Q30" s="120">
        <f>'Volume adjustments'!Q77</f>
        <v>49098.696890577165</v>
      </c>
      <c r="R30" s="120">
        <f>'Volume adjustments'!R77</f>
        <v>621.73009887917874</v>
      </c>
      <c r="S30" s="120">
        <f>'Volume adjustments'!S77</f>
        <v>0</v>
      </c>
      <c r="T30" s="120">
        <f>'Volume adjustments'!T77</f>
        <v>22548.676037633701</v>
      </c>
      <c r="U30" s="120">
        <f>'Volume adjustments'!U77</f>
        <v>0</v>
      </c>
      <c r="V30" s="120">
        <f>'Volume adjustments'!V77</f>
        <v>2420.0756967191228</v>
      </c>
      <c r="W30" s="120">
        <f>'Volume adjustments'!W77</f>
        <v>0</v>
      </c>
      <c r="X30" s="120">
        <f>'Volume adjustments'!X77</f>
        <v>553493.31010462705</v>
      </c>
      <c r="Y30" s="120">
        <f>'Volume adjustments'!Y77</f>
        <v>0</v>
      </c>
    </row>
    <row r="31" spans="4:59" x14ac:dyDescent="0.25">
      <c r="D31" s="88"/>
      <c r="F31" t="s">
        <v>158</v>
      </c>
      <c r="G31" t="s">
        <v>207</v>
      </c>
      <c r="J31" s="120">
        <f>'Volume adjustments'!J88</f>
        <v>4874128.0393072097</v>
      </c>
      <c r="K31" s="120">
        <f>'Volume adjustments'!K88</f>
        <v>9899.7165488828668</v>
      </c>
      <c r="L31" s="120">
        <f>'Volume adjustments'!L88</f>
        <v>1485109.921576333</v>
      </c>
      <c r="M31" s="120">
        <f>'Volume adjustments'!M88</f>
        <v>1793.2522001264201</v>
      </c>
      <c r="N31" s="120">
        <f>'Volume adjustments'!N88</f>
        <v>1600581.2557186417</v>
      </c>
      <c r="O31" s="120">
        <f>'Volume adjustments'!O88</f>
        <v>124458.65238182069</v>
      </c>
      <c r="P31" s="120">
        <f>'Volume adjustments'!P88</f>
        <v>3773369.7704526572</v>
      </c>
      <c r="Q31" s="120">
        <f>'Volume adjustments'!Q88</f>
        <v>162629.81891852972</v>
      </c>
      <c r="R31" s="120">
        <f>'Volume adjustments'!R88</f>
        <v>365.44118174945635</v>
      </c>
      <c r="S31" s="120">
        <f>'Volume adjustments'!S88</f>
        <v>0</v>
      </c>
      <c r="T31" s="120">
        <f>'Volume adjustments'!T88</f>
        <v>23816.087660749628</v>
      </c>
      <c r="U31" s="120">
        <f>'Volume adjustments'!U88</f>
        <v>0</v>
      </c>
      <c r="V31" s="120">
        <f>'Volume adjustments'!V88</f>
        <v>4177.5270200851664</v>
      </c>
      <c r="W31" s="120">
        <f>'Volume adjustments'!W88</f>
        <v>0</v>
      </c>
      <c r="X31" s="120">
        <f>'Volume adjustments'!X88</f>
        <v>650372.22755506483</v>
      </c>
      <c r="Y31" s="120">
        <f>'Volume adjustments'!Y88</f>
        <v>0</v>
      </c>
    </row>
    <row r="32" spans="4:59" x14ac:dyDescent="0.25">
      <c r="D32" s="88"/>
      <c r="F32" t="s">
        <v>212</v>
      </c>
      <c r="G32" t="s">
        <v>212</v>
      </c>
      <c r="J32" s="120">
        <f>'Volume adjustments'!J103</f>
        <v>2550470.1642928589</v>
      </c>
      <c r="K32" s="120">
        <f>'Volume adjustments'!K103</f>
        <v>0</v>
      </c>
      <c r="L32" s="120">
        <f>'Volume adjustments'!L103</f>
        <v>187147.43160675137</v>
      </c>
      <c r="M32" s="120">
        <f>'Volume adjustments'!M103</f>
        <v>0</v>
      </c>
      <c r="N32" s="120">
        <f>'Volume adjustments'!N103</f>
        <v>15647.701878098003</v>
      </c>
      <c r="O32" s="120">
        <f>'Volume adjustments'!O103</f>
        <v>480.9458034931813</v>
      </c>
      <c r="P32" s="120">
        <f>'Volume adjustments'!P103</f>
        <v>3395.8469925859049</v>
      </c>
      <c r="Q32" s="120">
        <f>'Volume adjustments'!Q103</f>
        <v>31.606325583497927</v>
      </c>
      <c r="R32" s="120">
        <f>'Volume adjustments'!R103</f>
        <v>0</v>
      </c>
      <c r="S32" s="120">
        <f>'Volume adjustments'!S103</f>
        <v>0</v>
      </c>
      <c r="T32" s="120">
        <f>'Volume adjustments'!T103</f>
        <v>737.24112185551337</v>
      </c>
      <c r="U32" s="120">
        <f>'Volume adjustments'!U103</f>
        <v>0</v>
      </c>
      <c r="V32" s="120">
        <f>'Volume adjustments'!V103</f>
        <v>52.799295590310457</v>
      </c>
      <c r="W32" s="120">
        <f>'Volume adjustments'!W103</f>
        <v>0</v>
      </c>
      <c r="X32" s="120">
        <f>'Volume adjustments'!X103</f>
        <v>465.20466013888074</v>
      </c>
      <c r="Y32" s="120">
        <f>'Volume adjustments'!Y103</f>
        <v>0</v>
      </c>
    </row>
    <row r="33" spans="2:59" x14ac:dyDescent="0.25">
      <c r="D33" s="88"/>
      <c r="F33" t="s">
        <v>737</v>
      </c>
      <c r="G33" t="s">
        <v>251</v>
      </c>
      <c r="J33" s="120">
        <f>'Volume adjustments'!J114</f>
        <v>0</v>
      </c>
      <c r="K33" s="120">
        <f>'Volume adjustments'!K114</f>
        <v>0</v>
      </c>
      <c r="L33" s="120">
        <f>'Volume adjustments'!L114</f>
        <v>0</v>
      </c>
      <c r="M33" s="120">
        <f>'Volume adjustments'!M114</f>
        <v>0</v>
      </c>
      <c r="N33" s="120">
        <f>'Volume adjustments'!N114</f>
        <v>2109407.7653642092</v>
      </c>
      <c r="O33" s="120">
        <f>'Volume adjustments'!O114</f>
        <v>161205.59490592603</v>
      </c>
      <c r="P33" s="120">
        <f>'Volume adjustments'!P114</f>
        <v>2787191.000994971</v>
      </c>
      <c r="Q33" s="120">
        <f>'Volume adjustments'!Q114</f>
        <v>0</v>
      </c>
      <c r="R33" s="120">
        <f>'Volume adjustments'!R114</f>
        <v>0</v>
      </c>
      <c r="S33" s="120">
        <f>'Volume adjustments'!S114</f>
        <v>0</v>
      </c>
      <c r="T33" s="120">
        <f>'Volume adjustments'!T114</f>
        <v>0</v>
      </c>
      <c r="U33" s="120">
        <f>'Volume adjustments'!U114</f>
        <v>0</v>
      </c>
      <c r="V33" s="120">
        <f>'Volume adjustments'!V114</f>
        <v>0</v>
      </c>
      <c r="W33" s="120">
        <f>'Volume adjustments'!W114</f>
        <v>0</v>
      </c>
      <c r="X33" s="120">
        <f>'Volume adjustments'!X114</f>
        <v>0</v>
      </c>
      <c r="Y33" s="120">
        <f>'Volume adjustments'!Y114</f>
        <v>0</v>
      </c>
    </row>
    <row r="34" spans="2:59" x14ac:dyDescent="0.25">
      <c r="D34" s="88"/>
      <c r="F34" t="s">
        <v>252</v>
      </c>
      <c r="G34" t="s">
        <v>251</v>
      </c>
      <c r="J34" s="120">
        <f>'Volume adjustments'!J125</f>
        <v>0</v>
      </c>
      <c r="K34" s="120">
        <f>'Volume adjustments'!K125</f>
        <v>0</v>
      </c>
      <c r="L34" s="120">
        <f>'Volume adjustments'!L125</f>
        <v>0</v>
      </c>
      <c r="M34" s="120">
        <f>'Volume adjustments'!M125</f>
        <v>0</v>
      </c>
      <c r="N34" s="120">
        <f>'Volume adjustments'!N125</f>
        <v>35656.856343903775</v>
      </c>
      <c r="O34" s="120">
        <f>'Volume adjustments'!O125</f>
        <v>2367.0128416617245</v>
      </c>
      <c r="P34" s="120">
        <f>'Volume adjustments'!P125</f>
        <v>45499.914996202169</v>
      </c>
      <c r="Q34" s="120">
        <f>'Volume adjustments'!Q125</f>
        <v>0</v>
      </c>
      <c r="R34" s="120">
        <f>'Volume adjustments'!R125</f>
        <v>0</v>
      </c>
      <c r="S34" s="120">
        <f>'Volume adjustments'!S125</f>
        <v>0</v>
      </c>
      <c r="T34" s="120">
        <f>'Volume adjustments'!T125</f>
        <v>0</v>
      </c>
      <c r="U34" s="120">
        <f>'Volume adjustments'!U125</f>
        <v>0</v>
      </c>
      <c r="V34" s="120">
        <f>'Volume adjustments'!V125</f>
        <v>0</v>
      </c>
      <c r="W34" s="120">
        <f>'Volume adjustments'!W125</f>
        <v>0</v>
      </c>
      <c r="X34" s="120">
        <f>'Volume adjustments'!X125</f>
        <v>0</v>
      </c>
      <c r="Y34" s="120">
        <f>'Volume adjustments'!Y125</f>
        <v>0</v>
      </c>
    </row>
    <row r="35" spans="2:59" x14ac:dyDescent="0.25">
      <c r="D35" s="88"/>
      <c r="F35" s="37" t="s">
        <v>215</v>
      </c>
      <c r="G35" s="67" t="s">
        <v>254</v>
      </c>
      <c r="H35" s="37"/>
      <c r="I35" s="37"/>
      <c r="J35" s="125">
        <f>'Volume adjustments'!J136</f>
        <v>0</v>
      </c>
      <c r="K35" s="125">
        <f>'Volume adjustments'!K136</f>
        <v>0</v>
      </c>
      <c r="L35" s="125">
        <f>'Volume adjustments'!L136</f>
        <v>0</v>
      </c>
      <c r="M35" s="125">
        <f>'Volume adjustments'!M136</f>
        <v>0</v>
      </c>
      <c r="N35" s="125">
        <f>'Volume adjustments'!N136</f>
        <v>364722.75916978787</v>
      </c>
      <c r="O35" s="125">
        <f>'Volume adjustments'!O136</f>
        <v>31818.2883040739</v>
      </c>
      <c r="P35" s="125">
        <f>'Volume adjustments'!P136</f>
        <v>599366.56176819664</v>
      </c>
      <c r="Q35" s="125">
        <f>'Volume adjustments'!Q136</f>
        <v>0</v>
      </c>
      <c r="R35" s="125">
        <f>'Volume adjustments'!R136</f>
        <v>0</v>
      </c>
      <c r="S35" s="125">
        <f>'Volume adjustments'!S136</f>
        <v>0</v>
      </c>
      <c r="T35" s="125">
        <f>'Volume adjustments'!T136</f>
        <v>3771.5726929923658</v>
      </c>
      <c r="U35" s="125">
        <f>'Volume adjustments'!U136</f>
        <v>0</v>
      </c>
      <c r="V35" s="125">
        <f>'Volume adjustments'!V136</f>
        <v>530.87127369074199</v>
      </c>
      <c r="W35" s="125">
        <f>'Volume adjustments'!W136</f>
        <v>0</v>
      </c>
      <c r="X35" s="125">
        <f>'Volume adjustments'!X136</f>
        <v>17917.3014398864</v>
      </c>
      <c r="Y35" s="125">
        <f>'Volume adjustments'!Y136</f>
        <v>0</v>
      </c>
    </row>
    <row r="36" spans="2:59" x14ac:dyDescent="0.25">
      <c r="D36" s="88"/>
      <c r="F36" s="2"/>
      <c r="J36" s="63"/>
      <c r="K36" s="63"/>
      <c r="L36" s="63"/>
      <c r="M36" s="63"/>
      <c r="N36" s="63"/>
      <c r="O36" s="63"/>
      <c r="P36" s="63"/>
      <c r="Q36" s="63"/>
      <c r="R36" s="63"/>
      <c r="S36" s="63"/>
      <c r="T36" s="63"/>
      <c r="U36" s="63"/>
      <c r="V36" s="63"/>
      <c r="W36" s="63"/>
      <c r="X36" s="63"/>
      <c r="Y36" s="63"/>
    </row>
    <row r="37" spans="2:59" x14ac:dyDescent="0.25">
      <c r="D37" s="88"/>
      <c r="E37" t="s">
        <v>738</v>
      </c>
      <c r="G37" t="s">
        <v>277</v>
      </c>
      <c r="H37" s="120">
        <f>'General inputs'!$H$87</f>
        <v>502143793.88204896</v>
      </c>
      <c r="J37" s="63"/>
      <c r="K37" s="63"/>
      <c r="L37" s="63"/>
      <c r="M37" s="63"/>
      <c r="N37" s="63"/>
      <c r="O37" s="63"/>
      <c r="P37" s="63"/>
      <c r="Q37" s="63"/>
      <c r="R37" s="63"/>
      <c r="S37" s="63"/>
      <c r="T37" s="63"/>
      <c r="U37" s="63"/>
      <c r="V37" s="63"/>
      <c r="W37" s="63"/>
      <c r="X37" s="63"/>
      <c r="Y37" s="63"/>
    </row>
    <row r="38" spans="2:59" x14ac:dyDescent="0.25">
      <c r="D38" s="88"/>
      <c r="E38"/>
      <c r="H38" s="120"/>
      <c r="J38" s="63"/>
      <c r="K38" s="63"/>
      <c r="L38" s="63"/>
      <c r="M38" s="63"/>
      <c r="N38" s="63"/>
      <c r="O38" s="63"/>
      <c r="P38" s="63"/>
      <c r="Q38" s="63"/>
      <c r="R38" s="63"/>
      <c r="S38" s="63"/>
      <c r="T38" s="63"/>
      <c r="U38" s="63"/>
      <c r="V38" s="63"/>
      <c r="W38" s="63"/>
      <c r="X38" s="63"/>
      <c r="Y38" s="63"/>
    </row>
    <row r="39" spans="2:59" x14ac:dyDescent="0.25">
      <c r="D39" s="88"/>
      <c r="E39" s="32" t="s">
        <v>1035</v>
      </c>
      <c r="H39" s="120"/>
      <c r="J39" s="63"/>
      <c r="K39" s="63"/>
      <c r="L39" s="63"/>
      <c r="M39" s="63"/>
      <c r="N39" s="63"/>
      <c r="O39" s="63"/>
      <c r="P39" s="63"/>
      <c r="Q39" s="63"/>
      <c r="R39" s="63"/>
      <c r="S39" s="63"/>
      <c r="T39" s="63"/>
      <c r="U39" s="63"/>
      <c r="V39" s="63"/>
      <c r="W39" s="63"/>
      <c r="X39" s="63"/>
      <c r="Y39" s="63"/>
    </row>
    <row r="40" spans="2:59" x14ac:dyDescent="0.25">
      <c r="D40" s="88"/>
      <c r="F40" s="23" t="s">
        <v>1033</v>
      </c>
      <c r="G40" s="23" t="s">
        <v>277</v>
      </c>
      <c r="H40" s="124">
        <f>'General inputs'!$H$53</f>
        <v>82980.666962912685</v>
      </c>
      <c r="J40" s="63"/>
      <c r="K40" s="63"/>
      <c r="L40" s="63"/>
      <c r="M40" s="63"/>
      <c r="N40" s="63"/>
      <c r="O40" s="63"/>
      <c r="P40" s="63"/>
      <c r="Q40" s="63"/>
      <c r="R40" s="63"/>
      <c r="S40" s="63"/>
      <c r="T40" s="63"/>
      <c r="U40" s="63"/>
      <c r="V40" s="63"/>
      <c r="W40" s="63"/>
      <c r="X40" s="63"/>
      <c r="Y40" s="63"/>
    </row>
    <row r="41" spans="2:59" x14ac:dyDescent="0.25">
      <c r="C41" s="88"/>
      <c r="F41" s="37" t="s">
        <v>1034</v>
      </c>
      <c r="G41" s="37" t="s">
        <v>277</v>
      </c>
      <c r="H41" s="125">
        <f>'General inputs'!$H$54</f>
        <v>1612387.7200664035</v>
      </c>
      <c r="J41" s="63"/>
      <c r="K41" s="63"/>
      <c r="L41" s="63"/>
      <c r="M41" s="63"/>
      <c r="N41" s="63"/>
      <c r="O41" s="63"/>
      <c r="P41" s="63"/>
      <c r="Q41" s="63"/>
      <c r="R41" s="63"/>
      <c r="S41" s="63"/>
      <c r="T41" s="63"/>
      <c r="U41" s="63"/>
      <c r="V41" s="63"/>
      <c r="W41" s="63"/>
      <c r="X41" s="63"/>
      <c r="Y41" s="63"/>
    </row>
    <row r="42" spans="2:59" x14ac:dyDescent="0.25">
      <c r="C42" s="88"/>
      <c r="J42" s="63"/>
      <c r="K42" s="63"/>
      <c r="L42" s="63"/>
      <c r="M42" s="63"/>
      <c r="N42" s="63"/>
      <c r="O42" s="63"/>
      <c r="P42" s="63"/>
      <c r="Q42" s="63"/>
      <c r="R42" s="63"/>
      <c r="S42" s="63"/>
      <c r="T42" s="63"/>
      <c r="U42" s="63"/>
      <c r="V42" s="63"/>
      <c r="W42" s="63"/>
      <c r="X42" s="63"/>
      <c r="Y42" s="63"/>
    </row>
    <row r="43" spans="2:59" x14ac:dyDescent="0.25">
      <c r="C43" s="88"/>
      <c r="E43" t="s">
        <v>1049</v>
      </c>
      <c r="G43" t="s">
        <v>277</v>
      </c>
      <c r="H43" s="98">
        <f>H37 - H40 - H41</f>
        <v>500448425.49501961</v>
      </c>
      <c r="I43" t="s">
        <v>154</v>
      </c>
      <c r="J43" s="63"/>
      <c r="K43" s="63"/>
      <c r="L43" s="63"/>
      <c r="M43" s="63"/>
      <c r="N43" s="63"/>
      <c r="O43" s="63"/>
      <c r="P43" s="63"/>
      <c r="Q43" s="63"/>
      <c r="R43" s="63"/>
      <c r="S43" s="63"/>
      <c r="T43" s="63"/>
      <c r="U43" s="63"/>
      <c r="V43" s="63"/>
      <c r="W43" s="63"/>
      <c r="X43" s="63"/>
      <c r="Y43" s="63"/>
      <c r="BG43" t="s">
        <v>1065</v>
      </c>
    </row>
    <row r="44" spans="2:59" x14ac:dyDescent="0.25">
      <c r="C44" s="88"/>
      <c r="J44" s="63"/>
      <c r="K44" s="63"/>
      <c r="L44" s="63"/>
      <c r="M44" s="63"/>
      <c r="N44" s="63"/>
      <c r="O44" s="63"/>
      <c r="P44" s="63"/>
      <c r="Q44" s="63"/>
      <c r="R44" s="63"/>
      <c r="S44" s="63"/>
      <c r="T44" s="63"/>
      <c r="U44" s="63"/>
      <c r="V44" s="63"/>
      <c r="W44" s="63"/>
      <c r="X44" s="63"/>
      <c r="Y44" s="63"/>
    </row>
    <row r="45" spans="2:59" x14ac:dyDescent="0.25">
      <c r="C45" s="31" t="str">
        <f ca="1">INDEX('Version control'!$H$34:$H$57,MATCH($A$1,'Version control'!$F$34:$F$57,0),1)&amp;"-B: Net revenue before matching"</f>
        <v>Section 115-B: Net revenue before matching</v>
      </c>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31"/>
      <c r="AS45" s="31"/>
      <c r="AT45" s="31"/>
      <c r="AU45" s="31"/>
      <c r="AV45" s="31"/>
      <c r="AW45" s="31"/>
      <c r="AX45" s="31"/>
      <c r="AY45" s="31"/>
      <c r="AZ45" s="31"/>
      <c r="BA45" s="31"/>
      <c r="BB45" s="31"/>
      <c r="BC45" s="31"/>
      <c r="BD45" s="31"/>
      <c r="BE45" s="31"/>
      <c r="BF45" s="31"/>
      <c r="BG45" s="31"/>
    </row>
    <row r="46" spans="2:59" x14ac:dyDescent="0.25">
      <c r="C46" s="29"/>
      <c r="J46" s="63"/>
      <c r="K46" s="63"/>
      <c r="L46" s="63"/>
      <c r="M46" s="63"/>
      <c r="N46" s="63"/>
      <c r="O46" s="63"/>
      <c r="P46" s="63"/>
      <c r="Q46" s="63"/>
      <c r="R46" s="63"/>
      <c r="S46" s="63"/>
      <c r="T46" s="63"/>
      <c r="U46" s="63"/>
      <c r="V46" s="63"/>
      <c r="W46" s="63"/>
      <c r="X46" s="63"/>
      <c r="Y46" s="63"/>
    </row>
    <row r="47" spans="2:59" x14ac:dyDescent="0.25">
      <c r="B47" s="29"/>
      <c r="D47" s="29" t="s">
        <v>739</v>
      </c>
      <c r="F47" s="2"/>
      <c r="J47" s="63"/>
      <c r="K47" s="63"/>
      <c r="L47" s="63"/>
      <c r="M47" s="63"/>
      <c r="N47" s="63"/>
      <c r="O47" s="63"/>
      <c r="P47" s="63"/>
      <c r="Q47" s="63"/>
      <c r="R47" s="63"/>
      <c r="S47" s="63"/>
      <c r="T47" s="63"/>
      <c r="U47" s="63"/>
      <c r="V47" s="63"/>
      <c r="W47" s="63"/>
      <c r="X47" s="63"/>
      <c r="Y47" s="63"/>
    </row>
    <row r="48" spans="2:59" x14ac:dyDescent="0.25">
      <c r="D48" s="29" t="s">
        <v>740</v>
      </c>
      <c r="F48" s="2"/>
      <c r="J48" s="63"/>
      <c r="K48" s="63"/>
      <c r="L48" s="63"/>
      <c r="M48" s="63"/>
      <c r="N48" s="63"/>
      <c r="O48" s="63"/>
      <c r="P48" s="63"/>
      <c r="Q48" s="63"/>
      <c r="R48" s="63"/>
      <c r="S48" s="63"/>
      <c r="T48" s="63"/>
      <c r="U48" s="63"/>
      <c r="V48" s="63"/>
      <c r="W48" s="63"/>
      <c r="X48" s="63"/>
      <c r="Y48" s="63"/>
    </row>
    <row r="49" spans="2:59" x14ac:dyDescent="0.25">
      <c r="D49" s="29"/>
      <c r="F49" s="2"/>
      <c r="J49" s="63"/>
      <c r="K49" s="63"/>
      <c r="L49" s="63"/>
      <c r="M49" s="63"/>
      <c r="N49" s="63"/>
      <c r="O49" s="63"/>
      <c r="P49" s="63"/>
      <c r="Q49" s="63"/>
      <c r="R49" s="63"/>
      <c r="S49" s="63"/>
      <c r="T49" s="63"/>
      <c r="U49" s="63"/>
      <c r="V49" s="63"/>
      <c r="W49" s="63"/>
      <c r="X49" s="63"/>
      <c r="Y49" s="63"/>
    </row>
    <row r="50" spans="2:59" x14ac:dyDescent="0.25">
      <c r="D50"/>
      <c r="E50" s="32" t="s">
        <v>741</v>
      </c>
      <c r="F50" s="32"/>
      <c r="H50" s="128" t="s">
        <v>545</v>
      </c>
      <c r="J50" s="63"/>
      <c r="K50" s="63"/>
      <c r="L50" s="63"/>
      <c r="M50" s="63"/>
      <c r="N50" s="63"/>
      <c r="O50" s="63"/>
      <c r="P50" s="63"/>
      <c r="Q50" s="63"/>
      <c r="R50" s="63"/>
      <c r="S50" s="63"/>
      <c r="T50" s="63"/>
      <c r="U50" s="63"/>
      <c r="V50" s="63"/>
      <c r="W50" s="63"/>
      <c r="X50" s="63"/>
      <c r="Y50" s="63"/>
    </row>
    <row r="51" spans="2:59" x14ac:dyDescent="0.25">
      <c r="D51" s="88"/>
      <c r="F51" s="23" t="s">
        <v>156</v>
      </c>
      <c r="G51" s="23" t="s">
        <v>277</v>
      </c>
      <c r="H51" s="158">
        <f t="shared" ref="H51:H58" si="0">SUM(J51:Y51)</f>
        <v>128466076.55636013</v>
      </c>
      <c r="I51" s="129"/>
      <c r="J51" s="126">
        <f t="shared" ref="J51:K51" si="1">J29 * thousand * J20 / hundred</f>
        <v>78345642.792470604</v>
      </c>
      <c r="K51" s="126">
        <f t="shared" si="1"/>
        <v>66475.705318441629</v>
      </c>
      <c r="L51" s="126">
        <f t="shared" ref="L51:M51" si="2">L29 * thousand * L20 / hundred</f>
        <v>22396520.477708988</v>
      </c>
      <c r="M51" s="126">
        <f t="shared" si="2"/>
        <v>2035.509663197995</v>
      </c>
      <c r="N51" s="126">
        <f t="shared" ref="N51:P51" si="3">N29 * thousand * N20 / hundred</f>
        <v>17108838.482311096</v>
      </c>
      <c r="O51" s="126">
        <f t="shared" si="3"/>
        <v>955105.0640777942</v>
      </c>
      <c r="P51" s="126">
        <f t="shared" si="3"/>
        <v>14058860.704735577</v>
      </c>
      <c r="Q51" s="126">
        <f t="shared" ref="Q51:S51" si="4">Q29 * thousand * Q20 / hundred</f>
        <v>2048883.5650201356</v>
      </c>
      <c r="R51" s="126">
        <f t="shared" si="4"/>
        <v>-5383.2279693074115</v>
      </c>
      <c r="S51" s="126">
        <f t="shared" si="4"/>
        <v>0</v>
      </c>
      <c r="T51" s="126">
        <f t="shared" ref="T51:U51" si="5">T29 * thousand * T20 / hundred</f>
        <v>-216373.3164842327</v>
      </c>
      <c r="U51" s="126">
        <f t="shared" si="5"/>
        <v>0</v>
      </c>
      <c r="V51" s="126">
        <f t="shared" ref="V51:W51" si="6">V29 * thousand * V20 / hundred</f>
        <v>-25640.41118747252</v>
      </c>
      <c r="W51" s="126">
        <f t="shared" si="6"/>
        <v>0</v>
      </c>
      <c r="X51" s="126">
        <f t="shared" ref="X51:Y51" si="7">X29 * thousand * X20 / hundred</f>
        <v>-6268888.7893046727</v>
      </c>
      <c r="Y51" s="126">
        <f t="shared" si="7"/>
        <v>0</v>
      </c>
    </row>
    <row r="52" spans="2:59" x14ac:dyDescent="0.25">
      <c r="D52" s="88"/>
      <c r="F52" t="s">
        <v>157</v>
      </c>
      <c r="G52" t="s">
        <v>277</v>
      </c>
      <c r="H52" s="89">
        <f t="shared" si="0"/>
        <v>54272792.540909693</v>
      </c>
      <c r="I52" s="63"/>
      <c r="J52" s="98">
        <f t="shared" ref="J52:K52" si="8">J30 * thousand * J21 / hundred</f>
        <v>29324657.811772488</v>
      </c>
      <c r="K52" s="98">
        <f t="shared" si="8"/>
        <v>54107.574859476787</v>
      </c>
      <c r="L52" s="98">
        <f t="shared" ref="L52:M52" si="9">L30 * thousand * L21 / hundred</f>
        <v>11662546.901114488</v>
      </c>
      <c r="M52" s="98">
        <f t="shared" si="9"/>
        <v>3998.1889909745778</v>
      </c>
      <c r="N52" s="98">
        <f t="shared" ref="N52:P52" si="10">N30 * thousand * N21 / hundred</f>
        <v>8767191.1812258977</v>
      </c>
      <c r="O52" s="98">
        <f t="shared" si="10"/>
        <v>394825.2142007692</v>
      </c>
      <c r="P52" s="98">
        <f t="shared" si="10"/>
        <v>5065207.1866484694</v>
      </c>
      <c r="Q52" s="98">
        <f t="shared" ref="Q52:S52" si="11">Q30 * thousand * Q21 / hundred</f>
        <v>792375.90908323985</v>
      </c>
      <c r="R52" s="98">
        <f t="shared" si="11"/>
        <v>-3734.1712975685264</v>
      </c>
      <c r="S52" s="98">
        <f t="shared" si="11"/>
        <v>0</v>
      </c>
      <c r="T52" s="98">
        <f t="shared" ref="T52:U52" si="12">T30 * thousand * T21 / hundred</f>
        <v>-135429.53607955491</v>
      </c>
      <c r="U52" s="98">
        <f t="shared" si="12"/>
        <v>0</v>
      </c>
      <c r="V52" s="98">
        <f t="shared" ref="V52:W52" si="13">V30 * thousand * V21 / hundred</f>
        <v>-12462.261120093988</v>
      </c>
      <c r="W52" s="98">
        <f t="shared" si="13"/>
        <v>0</v>
      </c>
      <c r="X52" s="98">
        <f t="shared" ref="X52:Y52" si="14">X30 * thousand * X21 / hundred</f>
        <v>-1640491.4584888914</v>
      </c>
      <c r="Y52" s="98">
        <f t="shared" si="14"/>
        <v>0</v>
      </c>
    </row>
    <row r="53" spans="2:59" x14ac:dyDescent="0.25">
      <c r="D53" s="88"/>
      <c r="F53" t="s">
        <v>158</v>
      </c>
      <c r="G53" t="s">
        <v>277</v>
      </c>
      <c r="H53" s="89">
        <f t="shared" si="0"/>
        <v>6001296.7037124876</v>
      </c>
      <c r="I53" s="63"/>
      <c r="J53" s="98">
        <f t="shared" ref="J53:K53" si="15">J31 * thousand * J22 / hundred</f>
        <v>2991111.8277942133</v>
      </c>
      <c r="K53" s="98">
        <f t="shared" si="15"/>
        <v>6075.1705786913362</v>
      </c>
      <c r="L53" s="98">
        <f t="shared" ref="L53:M53" si="16">L31 * thousand * L22 / hundred</f>
        <v>789458.57339363976</v>
      </c>
      <c r="M53" s="98">
        <f t="shared" si="16"/>
        <v>953.26164284469371</v>
      </c>
      <c r="N53" s="98">
        <f t="shared" ref="N53:P53" si="17">N31 * thousand * N22 / hundred</f>
        <v>577672.92155926523</v>
      </c>
      <c r="O53" s="98">
        <f t="shared" si="17"/>
        <v>25854.784549942011</v>
      </c>
      <c r="P53" s="98">
        <f t="shared" si="17"/>
        <v>349752.05903639714</v>
      </c>
      <c r="Q53" s="98">
        <f t="shared" ref="Q53:S53" si="18">Q31 * thousand * Q22 / hundred</f>
        <v>1377297.9186502704</v>
      </c>
      <c r="R53" s="98">
        <f t="shared" si="18"/>
        <v>-135.42947266631677</v>
      </c>
      <c r="S53" s="98">
        <f t="shared" si="18"/>
        <v>0</v>
      </c>
      <c r="T53" s="98">
        <f t="shared" ref="T53:U53" si="19">T31 * thousand * T22 / hundred</f>
        <v>-8826.0446658729506</v>
      </c>
      <c r="U53" s="98">
        <f t="shared" si="19"/>
        <v>0</v>
      </c>
      <c r="V53" s="98">
        <f t="shared" ref="V53:W53" si="20">V31 * thousand * V22 / hundred</f>
        <v>-1307.7391772541041</v>
      </c>
      <c r="W53" s="98">
        <f t="shared" si="20"/>
        <v>0</v>
      </c>
      <c r="X53" s="98">
        <f t="shared" ref="X53:Y53" si="21">X31 * thousand * X22 / hundred</f>
        <v>-106610.60017698319</v>
      </c>
      <c r="Y53" s="98">
        <f t="shared" si="21"/>
        <v>0</v>
      </c>
    </row>
    <row r="54" spans="2:59" x14ac:dyDescent="0.25">
      <c r="D54" s="88"/>
      <c r="F54" t="s">
        <v>159</v>
      </c>
      <c r="G54" t="s">
        <v>277</v>
      </c>
      <c r="H54" s="89">
        <f t="shared" si="0"/>
        <v>40018527.103290386</v>
      </c>
      <c r="I54" s="63"/>
      <c r="J54" s="98">
        <f t="shared" ref="J54:K54" si="22">J32 * J23 * days_in_year / hundred</f>
        <v>33303258.626236811</v>
      </c>
      <c r="K54" s="98">
        <f t="shared" si="22"/>
        <v>0</v>
      </c>
      <c r="L54" s="98">
        <f t="shared" ref="L54:M54" si="23">L32 * L23 * days_in_year / hundred</f>
        <v>4972622.954966411</v>
      </c>
      <c r="M54" s="98">
        <f t="shared" si="23"/>
        <v>0</v>
      </c>
      <c r="N54" s="98">
        <f t="shared" ref="N54:P54" si="24">N32 * N23 * days_in_year / hundred</f>
        <v>640205.16478417756</v>
      </c>
      <c r="O54" s="98">
        <f t="shared" si="24"/>
        <v>15360.22046827604</v>
      </c>
      <c r="P54" s="98">
        <f t="shared" si="24"/>
        <v>1001238.3775322597</v>
      </c>
      <c r="Q54" s="98">
        <f t="shared" ref="Q54:S54" si="25">Q32 * Q23 * days_in_year / hundred</f>
        <v>0</v>
      </c>
      <c r="R54" s="98">
        <f t="shared" si="25"/>
        <v>0</v>
      </c>
      <c r="S54" s="98">
        <f t="shared" si="25"/>
        <v>0</v>
      </c>
      <c r="T54" s="98">
        <f t="shared" ref="T54:U54" si="26">T32 * T23 * days_in_year / hundred</f>
        <v>0</v>
      </c>
      <c r="U54" s="98">
        <f t="shared" si="26"/>
        <v>0</v>
      </c>
      <c r="V54" s="98">
        <f t="shared" ref="V54:W54" si="27">V32 * V23 * days_in_year / hundred</f>
        <v>0</v>
      </c>
      <c r="W54" s="98">
        <f t="shared" si="27"/>
        <v>0</v>
      </c>
      <c r="X54" s="98">
        <f t="shared" ref="X54:Y54" si="28">X32 * X23 * days_in_year / hundred</f>
        <v>85841.759302453429</v>
      </c>
      <c r="Y54" s="98">
        <f t="shared" si="28"/>
        <v>0</v>
      </c>
    </row>
    <row r="55" spans="2:59" x14ac:dyDescent="0.25">
      <c r="D55" s="88"/>
      <c r="F55" t="s">
        <v>737</v>
      </c>
      <c r="G55" t="s">
        <v>277</v>
      </c>
      <c r="H55" s="89">
        <f t="shared" si="0"/>
        <v>67915532.171781763</v>
      </c>
      <c r="I55" s="63"/>
      <c r="J55" s="98">
        <f t="shared" ref="J55:K55" si="29">J33 * J24 * days_in_year / hundred</f>
        <v>0</v>
      </c>
      <c r="K55" s="98">
        <f t="shared" si="29"/>
        <v>0</v>
      </c>
      <c r="L55" s="98">
        <f t="shared" ref="L55:M55" si="30">L33 * L24 * days_in_year / hundred</f>
        <v>0</v>
      </c>
      <c r="M55" s="98">
        <f t="shared" si="30"/>
        <v>0</v>
      </c>
      <c r="N55" s="98">
        <f t="shared" ref="N55:P55" si="31">N33 * N24 * days_in_year / hundred</f>
        <v>22345615.436490547</v>
      </c>
      <c r="O55" s="98">
        <f t="shared" si="31"/>
        <v>2070736.9562364582</v>
      </c>
      <c r="P55" s="98">
        <f t="shared" si="31"/>
        <v>43499179.779054753</v>
      </c>
      <c r="Q55" s="98">
        <f t="shared" ref="Q55:S55" si="32">Q33 * Q24 * days_in_year / hundred</f>
        <v>0</v>
      </c>
      <c r="R55" s="98">
        <f t="shared" si="32"/>
        <v>0</v>
      </c>
      <c r="S55" s="98">
        <f t="shared" si="32"/>
        <v>0</v>
      </c>
      <c r="T55" s="98">
        <f t="shared" ref="T55:U55" si="33">T33 * T24 * days_in_year / hundred</f>
        <v>0</v>
      </c>
      <c r="U55" s="98">
        <f t="shared" si="33"/>
        <v>0</v>
      </c>
      <c r="V55" s="98">
        <f t="shared" ref="V55:W55" si="34">V33 * V24 * days_in_year / hundred</f>
        <v>0</v>
      </c>
      <c r="W55" s="98">
        <f t="shared" si="34"/>
        <v>0</v>
      </c>
      <c r="X55" s="98">
        <f t="shared" ref="X55:Y55" si="35">X33 * X24 * days_in_year / hundred</f>
        <v>0</v>
      </c>
      <c r="Y55" s="98">
        <f t="shared" si="35"/>
        <v>0</v>
      </c>
    </row>
    <row r="56" spans="2:59" x14ac:dyDescent="0.25">
      <c r="D56" s="88"/>
      <c r="F56" t="s">
        <v>252</v>
      </c>
      <c r="G56" t="s">
        <v>277</v>
      </c>
      <c r="H56" s="89">
        <f t="shared" si="0"/>
        <v>1821763.5844919472</v>
      </c>
      <c r="I56" s="63"/>
      <c r="J56" s="98">
        <f t="shared" ref="J56:K56" si="36">J34 * J25 * days_in_year / hundred</f>
        <v>0</v>
      </c>
      <c r="K56" s="98">
        <f t="shared" si="36"/>
        <v>0</v>
      </c>
      <c r="L56" s="98">
        <f t="shared" ref="L56:M56" si="37">L34 * L25 * days_in_year / hundred</f>
        <v>0</v>
      </c>
      <c r="M56" s="98">
        <f t="shared" si="37"/>
        <v>0</v>
      </c>
      <c r="N56" s="98">
        <f t="shared" ref="N56:P56" si="38">N34 * N25 * days_in_year / hundred</f>
        <v>748848.89783542906</v>
      </c>
      <c r="O56" s="98">
        <f t="shared" si="38"/>
        <v>45873.688971798445</v>
      </c>
      <c r="P56" s="98">
        <f t="shared" si="38"/>
        <v>1027040.9976847197</v>
      </c>
      <c r="Q56" s="98">
        <f t="shared" ref="Q56:S56" si="39">Q34 * Q25 * days_in_year / hundred</f>
        <v>0</v>
      </c>
      <c r="R56" s="98">
        <f t="shared" si="39"/>
        <v>0</v>
      </c>
      <c r="S56" s="98">
        <f t="shared" si="39"/>
        <v>0</v>
      </c>
      <c r="T56" s="98">
        <f t="shared" ref="T56:U56" si="40">T34 * T25 * days_in_year / hundred</f>
        <v>0</v>
      </c>
      <c r="U56" s="98">
        <f t="shared" si="40"/>
        <v>0</v>
      </c>
      <c r="V56" s="98">
        <f t="shared" ref="V56:W56" si="41">V34 * V25 * days_in_year / hundred</f>
        <v>0</v>
      </c>
      <c r="W56" s="98">
        <f t="shared" si="41"/>
        <v>0</v>
      </c>
      <c r="X56" s="98">
        <f t="shared" ref="X56:Y56" si="42">X34 * X25 * days_in_year / hundred</f>
        <v>0</v>
      </c>
      <c r="Y56" s="98">
        <f t="shared" si="42"/>
        <v>0</v>
      </c>
    </row>
    <row r="57" spans="2:59" x14ac:dyDescent="0.25">
      <c r="D57" s="88"/>
      <c r="F57" s="37" t="s">
        <v>215</v>
      </c>
      <c r="G57" s="67" t="s">
        <v>277</v>
      </c>
      <c r="H57" s="82">
        <f t="shared" si="0"/>
        <v>975097.55104762409</v>
      </c>
      <c r="I57" s="130"/>
      <c r="J57" s="100">
        <f t="shared" ref="J57:K57" si="43">J35 * thousand * J26 / hundred</f>
        <v>0</v>
      </c>
      <c r="K57" s="100">
        <f t="shared" si="43"/>
        <v>0</v>
      </c>
      <c r="L57" s="100">
        <f t="shared" ref="L57:M57" si="44">L35 * thousand * L26 / hundred</f>
        <v>0</v>
      </c>
      <c r="M57" s="100">
        <f t="shared" si="44"/>
        <v>0</v>
      </c>
      <c r="N57" s="100">
        <f t="shared" ref="N57:P57" si="45">N35 * thousand * N26 / hundred</f>
        <v>572332.27675791166</v>
      </c>
      <c r="O57" s="100">
        <f t="shared" si="45"/>
        <v>35419.371621085622</v>
      </c>
      <c r="P57" s="100">
        <f t="shared" si="45"/>
        <v>341960.92327214143</v>
      </c>
      <c r="Q57" s="100">
        <f t="shared" ref="Q57:S57" si="46">Q35 * thousand * Q26 / hundred</f>
        <v>0</v>
      </c>
      <c r="R57" s="100">
        <f t="shared" si="46"/>
        <v>0</v>
      </c>
      <c r="S57" s="100">
        <f t="shared" si="46"/>
        <v>0</v>
      </c>
      <c r="T57" s="100">
        <f t="shared" ref="T57:U57" si="47">T35 * thousand * T26 / hundred</f>
        <v>5868.0037311604156</v>
      </c>
      <c r="U57" s="100">
        <f t="shared" si="47"/>
        <v>0</v>
      </c>
      <c r="V57" s="100">
        <f t="shared" ref="V57:W57" si="48">V35 * thousand * V26 / hundred</f>
        <v>694.02833156968393</v>
      </c>
      <c r="W57" s="100">
        <f t="shared" si="48"/>
        <v>0</v>
      </c>
      <c r="X57" s="100">
        <f t="shared" ref="X57:Y57" si="49">X35 * thousand * X26 / hundred</f>
        <v>18822.947333755157</v>
      </c>
      <c r="Y57" s="100">
        <f t="shared" si="49"/>
        <v>0</v>
      </c>
    </row>
    <row r="58" spans="2:59" x14ac:dyDescent="0.25">
      <c r="D58"/>
      <c r="E58" s="29"/>
      <c r="F58" s="108" t="s">
        <v>100</v>
      </c>
      <c r="G58" s="152" t="s">
        <v>277</v>
      </c>
      <c r="H58" s="167">
        <f t="shared" si="0"/>
        <v>299471086.2115941</v>
      </c>
      <c r="I58" s="168"/>
      <c r="J58" s="153">
        <f t="shared" ref="J58:K58" si="50">SUM(J51:J57)</f>
        <v>143964671.05827412</v>
      </c>
      <c r="K58" s="153">
        <f t="shared" si="50"/>
        <v>126658.45075660975</v>
      </c>
      <c r="L58" s="153">
        <f t="shared" ref="L58:M58" si="51">SUM(L51:L57)</f>
        <v>39821148.907183528</v>
      </c>
      <c r="M58" s="153">
        <f t="shared" si="51"/>
        <v>6986.9602970172664</v>
      </c>
      <c r="N58" s="153">
        <f t="shared" ref="N58:P58" si="52">SUM(N51:N57)</f>
        <v>50760704.360964321</v>
      </c>
      <c r="O58" s="153">
        <f t="shared" si="52"/>
        <v>3543175.3001261237</v>
      </c>
      <c r="P58" s="153">
        <f t="shared" si="52"/>
        <v>65343240.027964316</v>
      </c>
      <c r="Q58" s="153">
        <f t="shared" ref="Q58:S58" si="53">SUM(Q51:Q57)</f>
        <v>4218557.3927536458</v>
      </c>
      <c r="R58" s="153">
        <f t="shared" si="53"/>
        <v>-9252.8287395422558</v>
      </c>
      <c r="S58" s="153">
        <f t="shared" si="53"/>
        <v>0</v>
      </c>
      <c r="T58" s="153">
        <f t="shared" ref="T58:U58" si="54">SUM(T51:T57)</f>
        <v>-354760.89349850011</v>
      </c>
      <c r="U58" s="153">
        <f t="shared" si="54"/>
        <v>0</v>
      </c>
      <c r="V58" s="153">
        <f t="shared" ref="V58:W58" si="55">SUM(V51:V57)</f>
        <v>-38716.383153250921</v>
      </c>
      <c r="W58" s="153">
        <f t="shared" si="55"/>
        <v>0</v>
      </c>
      <c r="X58" s="153">
        <f t="shared" ref="X58:Y58" si="56">SUM(X51:X57)</f>
        <v>-7911326.14133434</v>
      </c>
      <c r="Y58" s="153">
        <f t="shared" si="56"/>
        <v>0</v>
      </c>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row>
    <row r="59" spans="2:59" x14ac:dyDescent="0.25">
      <c r="D59"/>
      <c r="E59" s="32"/>
      <c r="F59" s="29"/>
      <c r="H59" s="89"/>
    </row>
    <row r="60" spans="2:59" x14ac:dyDescent="0.25">
      <c r="D60" s="88"/>
      <c r="E60" t="s">
        <v>742</v>
      </c>
      <c r="G60" t="s">
        <v>277</v>
      </c>
      <c r="H60" s="98">
        <f>H43 - H58</f>
        <v>200977339.28342551</v>
      </c>
      <c r="I60" s="210" t="s">
        <v>154</v>
      </c>
      <c r="J60" s="210"/>
      <c r="K60" s="210"/>
      <c r="L60" s="210"/>
      <c r="M60" s="210"/>
      <c r="N60" s="210"/>
      <c r="O60" s="210"/>
      <c r="P60" s="210"/>
      <c r="Q60" s="210"/>
      <c r="R60" s="210"/>
      <c r="S60" s="210"/>
      <c r="T60" s="210"/>
      <c r="U60" s="210"/>
      <c r="V60" s="210"/>
      <c r="W60" s="210"/>
      <c r="X60" s="210"/>
      <c r="Y60" s="210"/>
      <c r="Z60" s="210"/>
      <c r="AA60" s="210"/>
      <c r="AB60" s="210"/>
      <c r="AC60" s="210"/>
      <c r="AD60" s="210"/>
      <c r="AE60" s="210"/>
      <c r="AF60" s="210"/>
      <c r="AG60" s="210"/>
      <c r="AH60" s="210"/>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t="s">
        <v>743</v>
      </c>
    </row>
    <row r="61" spans="2:59" x14ac:dyDescent="0.25">
      <c r="C61" s="88"/>
      <c r="I61" s="210"/>
      <c r="J61" s="210"/>
      <c r="K61" s="210"/>
      <c r="L61" s="210"/>
      <c r="M61" s="210"/>
      <c r="N61" s="210"/>
      <c r="O61" s="210"/>
      <c r="P61" s="210"/>
      <c r="Q61" s="210"/>
      <c r="R61" s="210"/>
      <c r="S61" s="210"/>
      <c r="T61" s="210"/>
      <c r="U61" s="210"/>
      <c r="V61" s="210"/>
      <c r="W61" s="210"/>
      <c r="X61" s="210"/>
      <c r="Y61" s="210"/>
      <c r="Z61" s="210"/>
      <c r="AA61" s="210"/>
      <c r="AB61" s="210"/>
      <c r="AC61" s="210"/>
      <c r="AD61" s="210"/>
      <c r="AE61" s="210"/>
      <c r="AF61" s="210"/>
      <c r="AG61" s="210"/>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row>
    <row r="62" spans="2:59" x14ac:dyDescent="0.25">
      <c r="B62" s="30" t="s">
        <v>744</v>
      </c>
      <c r="C62" s="30"/>
      <c r="D62" s="30"/>
      <c r="E62" s="30"/>
      <c r="F62" s="30"/>
      <c r="G62" s="30"/>
      <c r="H62" s="30"/>
      <c r="I62" s="30"/>
      <c r="J62" s="30"/>
      <c r="K62" s="30"/>
      <c r="L62" s="30"/>
      <c r="M62" s="30"/>
      <c r="N62" s="30"/>
      <c r="O62" s="30"/>
      <c r="P62" s="30"/>
      <c r="Q62" s="30"/>
      <c r="R62" s="30"/>
      <c r="S62" s="30"/>
      <c r="T62" s="30"/>
      <c r="U62" s="30"/>
      <c r="V62" s="30"/>
      <c r="W62" s="30"/>
      <c r="X62" s="30"/>
      <c r="Y62" s="30"/>
      <c r="Z62" s="30"/>
      <c r="AA62" s="30"/>
      <c r="AB62" s="105"/>
      <c r="AC62" s="105"/>
      <c r="AD62" s="105"/>
      <c r="AE62" s="105"/>
      <c r="AF62" s="105"/>
      <c r="AG62" s="105"/>
      <c r="AH62" s="105"/>
      <c r="AI62" s="105"/>
      <c r="AJ62" s="105"/>
      <c r="AK62" s="105"/>
      <c r="AL62" s="105"/>
      <c r="AM62" s="105"/>
      <c r="AN62" s="105"/>
      <c r="AO62" s="105"/>
      <c r="AP62" s="105"/>
      <c r="AQ62" s="105"/>
      <c r="AR62" s="105"/>
      <c r="AS62" s="105"/>
      <c r="AT62" s="105"/>
      <c r="AU62" s="105"/>
      <c r="AV62" s="105"/>
      <c r="AW62" s="105"/>
      <c r="AX62" s="105"/>
      <c r="AY62" s="105"/>
      <c r="AZ62" s="105"/>
      <c r="BA62" s="105"/>
      <c r="BB62" s="105"/>
      <c r="BC62" s="105"/>
      <c r="BD62" s="105"/>
      <c r="BE62" s="105"/>
      <c r="BF62" s="105"/>
      <c r="BG62" s="105"/>
    </row>
    <row r="63" spans="2:59" x14ac:dyDescent="0.25">
      <c r="C63" s="29"/>
    </row>
    <row r="64" spans="2:59" x14ac:dyDescent="0.25">
      <c r="C64" s="29" t="s">
        <v>745</v>
      </c>
    </row>
    <row r="65" spans="3:59" x14ac:dyDescent="0.25">
      <c r="C65" s="29" t="s">
        <v>746</v>
      </c>
    </row>
    <row r="66" spans="3:59" x14ac:dyDescent="0.25">
      <c r="C66" s="29" t="s">
        <v>747</v>
      </c>
    </row>
    <row r="67" spans="3:59" x14ac:dyDescent="0.25">
      <c r="C67" s="29"/>
    </row>
    <row r="68" spans="3:59" x14ac:dyDescent="0.25">
      <c r="C68" s="31" t="str">
        <f ca="1">INDEX('Version control'!$H$34:$H$57,MATCH($A$1,'Version control'!$F$34:$F$57,0),1)&amp;"-C: Calculation of unconstrained adder solution"</f>
        <v>Section 115-C: Calculation of unconstrained adder solution</v>
      </c>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c r="AU68" s="31"/>
      <c r="AV68" s="31"/>
      <c r="AW68" s="31"/>
      <c r="AX68" s="31"/>
      <c r="AY68" s="31"/>
      <c r="AZ68" s="31"/>
      <c r="BA68" s="31"/>
      <c r="BB68" s="31"/>
      <c r="BC68" s="31"/>
      <c r="BD68" s="31"/>
      <c r="BE68" s="31"/>
      <c r="BF68" s="31"/>
      <c r="BG68" s="31"/>
    </row>
    <row r="69" spans="3:59" x14ac:dyDescent="0.25">
      <c r="D69" s="88"/>
    </row>
    <row r="70" spans="3:59" x14ac:dyDescent="0.25">
      <c r="E70" s="32" t="s">
        <v>748</v>
      </c>
      <c r="H70" s="210"/>
      <c r="I70" s="210"/>
    </row>
    <row r="71" spans="3:59" x14ac:dyDescent="0.25">
      <c r="E71" s="29" t="s">
        <v>749</v>
      </c>
      <c r="H71" s="210"/>
      <c r="I71" s="210"/>
    </row>
    <row r="72" spans="3:59" x14ac:dyDescent="0.25">
      <c r="D72"/>
      <c r="E72" s="29" t="s">
        <v>750</v>
      </c>
      <c r="H72" s="210"/>
      <c r="I72" s="210"/>
    </row>
    <row r="73" spans="3:59" x14ac:dyDescent="0.25">
      <c r="D73"/>
      <c r="E73" s="29" t="s">
        <v>751</v>
      </c>
      <c r="H73" s="210"/>
      <c r="I73" s="210"/>
    </row>
    <row r="74" spans="3:59" x14ac:dyDescent="0.25">
      <c r="C74" s="88"/>
      <c r="F74" s="23" t="s">
        <v>752</v>
      </c>
      <c r="G74" s="23" t="s">
        <v>269</v>
      </c>
      <c r="H74" s="267"/>
      <c r="I74" s="267"/>
      <c r="J74" s="286">
        <f t="shared" ref="J74:K74" si="57">-J20</f>
        <v>-7.8691541236145142</v>
      </c>
      <c r="K74" s="286">
        <f t="shared" si="57"/>
        <v>-7.8691541236145142</v>
      </c>
      <c r="L74" s="286">
        <f t="shared" ref="L74:M74" si="58">-L20</f>
        <v>-6.8165257676017825</v>
      </c>
      <c r="M74" s="286">
        <f t="shared" si="58"/>
        <v>-6.8165257676017825</v>
      </c>
      <c r="N74" s="286">
        <f t="shared" ref="N74:P74" si="59">-N20</f>
        <v>-4.9279316341979271</v>
      </c>
      <c r="O74" s="286">
        <f t="shared" si="59"/>
        <v>-3.3100709696873514</v>
      </c>
      <c r="P74" s="286">
        <f t="shared" si="59"/>
        <v>-2.0294324650108937</v>
      </c>
      <c r="Q74" s="286">
        <f t="shared" ref="Q74:S74" si="60">-Q20</f>
        <v>-20.888686876550693</v>
      </c>
      <c r="R74" s="286">
        <f t="shared" si="60"/>
        <v>4.752126966792952</v>
      </c>
      <c r="S74" s="286">
        <f t="shared" si="60"/>
        <v>4.1687283895347562</v>
      </c>
      <c r="T74" s="286">
        <f t="shared" ref="T74:U74" si="61">-T20</f>
        <v>4.752126966792952</v>
      </c>
      <c r="U74" s="286">
        <f t="shared" si="61"/>
        <v>4.752126966792952</v>
      </c>
      <c r="V74" s="286">
        <f t="shared" ref="V74:W74" si="62">-V20</f>
        <v>4.1687283895347562</v>
      </c>
      <c r="W74" s="286">
        <f t="shared" si="62"/>
        <v>4.1687283895347562</v>
      </c>
      <c r="X74" s="286">
        <f t="shared" ref="X74:Y74" si="63">-X20</f>
        <v>2.7260556362386072</v>
      </c>
      <c r="Y74" s="286">
        <f t="shared" si="63"/>
        <v>2.7260556362386072</v>
      </c>
      <c r="Z74" s="269"/>
      <c r="AA74" s="269"/>
      <c r="AB74" s="269"/>
      <c r="AC74" s="269"/>
      <c r="AD74" s="269"/>
      <c r="AE74" s="269"/>
      <c r="AF74" s="269"/>
      <c r="AG74" s="269"/>
      <c r="AH74" s="269"/>
      <c r="AI74" s="269"/>
      <c r="AJ74" s="269"/>
      <c r="AK74" s="269"/>
      <c r="AL74" s="269"/>
      <c r="AM74" s="269"/>
      <c r="AN74" s="269"/>
      <c r="AO74" s="269"/>
      <c r="AP74" s="269"/>
      <c r="AQ74" s="269"/>
      <c r="AR74" s="269"/>
      <c r="AS74" s="269"/>
      <c r="AT74" s="269"/>
      <c r="AU74" s="269"/>
      <c r="AV74" s="269"/>
      <c r="AW74" s="269"/>
      <c r="AX74" s="269"/>
      <c r="AY74" s="269"/>
      <c r="AZ74" s="269"/>
      <c r="BA74" s="269"/>
      <c r="BB74" s="269"/>
      <c r="BC74" s="269"/>
      <c r="BD74" s="269"/>
      <c r="BE74" s="269"/>
      <c r="BF74" s="269"/>
      <c r="BG74" s="269"/>
    </row>
    <row r="75" spans="3:59" x14ac:dyDescent="0.25">
      <c r="C75" s="88"/>
      <c r="F75" t="s">
        <v>753</v>
      </c>
      <c r="G75" t="s">
        <v>269</v>
      </c>
      <c r="H75" s="269"/>
      <c r="I75" s="269"/>
      <c r="J75" s="287">
        <f t="shared" ref="J75:K75" si="64">-J21</f>
        <v>-0.99456313995064261</v>
      </c>
      <c r="K75" s="287">
        <f t="shared" si="64"/>
        <v>-0.99456313995064261</v>
      </c>
      <c r="L75" s="287">
        <f t="shared" ref="L75:M75" si="65">-L21</f>
        <v>-0.86152401700152526</v>
      </c>
      <c r="M75" s="287">
        <f t="shared" si="65"/>
        <v>-0.86152401700152526</v>
      </c>
      <c r="N75" s="287">
        <f t="shared" ref="N75:P75" si="66">-N21</f>
        <v>-0.59969852693012982</v>
      </c>
      <c r="O75" s="287">
        <f t="shared" si="66"/>
        <v>-0.3685087304672886</v>
      </c>
      <c r="P75" s="287">
        <f t="shared" si="66"/>
        <v>-0.19154306505018537</v>
      </c>
      <c r="Q75" s="287">
        <f t="shared" ref="Q75:S75" si="67">-Q21</f>
        <v>-1.6138430534096508</v>
      </c>
      <c r="R75" s="287">
        <f t="shared" si="67"/>
        <v>0.6006097025542575</v>
      </c>
      <c r="S75" s="287">
        <f t="shared" si="67"/>
        <v>0.51495336021881366</v>
      </c>
      <c r="T75" s="287">
        <f t="shared" ref="T75:U75" si="68">-T21</f>
        <v>0.6006097025542575</v>
      </c>
      <c r="U75" s="287">
        <f t="shared" si="68"/>
        <v>0.6006097025542575</v>
      </c>
      <c r="V75" s="287">
        <f t="shared" ref="V75:W75" si="69">-V21</f>
        <v>0.51495336021881366</v>
      </c>
      <c r="W75" s="287">
        <f t="shared" si="69"/>
        <v>0.51495336021881366</v>
      </c>
      <c r="X75" s="287">
        <f t="shared" ref="X75:Y75" si="70">-X21</f>
        <v>0.29638866966229255</v>
      </c>
      <c r="Y75" s="287">
        <f t="shared" si="70"/>
        <v>0.29638866966229255</v>
      </c>
      <c r="Z75" s="269"/>
      <c r="AA75" s="269"/>
      <c r="AB75" s="269"/>
      <c r="AC75" s="269"/>
      <c r="AD75" s="269"/>
      <c r="AE75" s="269"/>
      <c r="AF75" s="269"/>
      <c r="AG75" s="269"/>
      <c r="AH75" s="269"/>
      <c r="AI75" s="269"/>
      <c r="AJ75" s="269"/>
      <c r="AK75" s="269"/>
      <c r="AL75" s="269"/>
      <c r="AM75" s="269"/>
      <c r="AN75" s="269"/>
      <c r="AO75" s="269"/>
      <c r="AP75" s="269"/>
      <c r="AQ75" s="269"/>
      <c r="AR75" s="269"/>
      <c r="AS75" s="269"/>
      <c r="AT75" s="269"/>
      <c r="AU75" s="269"/>
      <c r="AV75" s="269"/>
      <c r="AW75" s="269"/>
      <c r="AX75" s="269"/>
      <c r="AY75" s="269"/>
      <c r="AZ75" s="269"/>
      <c r="BA75" s="269"/>
      <c r="BB75" s="269"/>
      <c r="BC75" s="269"/>
      <c r="BD75" s="269"/>
      <c r="BE75" s="269"/>
      <c r="BF75" s="269"/>
      <c r="BG75" s="269"/>
    </row>
    <row r="76" spans="3:59" x14ac:dyDescent="0.25">
      <c r="C76" s="88"/>
      <c r="F76" s="37" t="s">
        <v>754</v>
      </c>
      <c r="G76" s="37" t="s">
        <v>269</v>
      </c>
      <c r="H76" s="273"/>
      <c r="I76" s="273"/>
      <c r="J76" s="289">
        <f t="shared" ref="J76:K76" si="71">-J22</f>
        <v>-6.1367116408771211E-2</v>
      </c>
      <c r="K76" s="289">
        <f t="shared" si="71"/>
        <v>-6.1367116408771211E-2</v>
      </c>
      <c r="L76" s="289">
        <f t="shared" ref="L76:M76" si="72">-L22</f>
        <v>-5.3158258653048969E-2</v>
      </c>
      <c r="M76" s="289">
        <f t="shared" si="72"/>
        <v>-5.3158258653048969E-2</v>
      </c>
      <c r="N76" s="289">
        <f t="shared" ref="N76:P76" si="73">-N22</f>
        <v>-3.6091446122796002E-2</v>
      </c>
      <c r="O76" s="289">
        <f t="shared" si="73"/>
        <v>-2.0773794392874644E-2</v>
      </c>
      <c r="P76" s="289">
        <f t="shared" si="73"/>
        <v>-9.2689579954535039E-3</v>
      </c>
      <c r="Q76" s="289">
        <f t="shared" ref="Q76:S76" si="74">-Q22</f>
        <v>-0.84689138056547619</v>
      </c>
      <c r="R76" s="289">
        <f t="shared" si="74"/>
        <v>3.7059171059480152E-2</v>
      </c>
      <c r="S76" s="289">
        <f t="shared" si="74"/>
        <v>3.1304146471503695E-2</v>
      </c>
      <c r="T76" s="289">
        <f t="shared" ref="T76:U76" si="75">-T22</f>
        <v>3.7059171059480152E-2</v>
      </c>
      <c r="U76" s="289">
        <f t="shared" si="75"/>
        <v>3.7059171059480152E-2</v>
      </c>
      <c r="V76" s="289">
        <f t="shared" ref="V76:W76" si="76">-V22</f>
        <v>3.1304146471503695E-2</v>
      </c>
      <c r="W76" s="289">
        <f t="shared" si="76"/>
        <v>3.1304146471503695E-2</v>
      </c>
      <c r="X76" s="289">
        <f t="shared" ref="X76:Y76" si="77">-X22</f>
        <v>1.6392243650649556E-2</v>
      </c>
      <c r="Y76" s="289">
        <f t="shared" si="77"/>
        <v>1.6392243650649556E-2</v>
      </c>
      <c r="Z76" s="269"/>
      <c r="AA76" s="269"/>
      <c r="AB76" s="269"/>
      <c r="AC76" s="269"/>
      <c r="AD76" s="269"/>
      <c r="AE76" s="269"/>
      <c r="AF76" s="269"/>
      <c r="AG76" s="269"/>
      <c r="AH76" s="269"/>
      <c r="AI76" s="269"/>
      <c r="AJ76" s="269"/>
      <c r="AK76" s="269"/>
      <c r="AL76" s="269"/>
      <c r="AM76" s="269"/>
      <c r="AN76" s="269"/>
      <c r="AO76" s="269"/>
      <c r="AP76" s="269"/>
      <c r="AQ76" s="269"/>
      <c r="AR76" s="269"/>
      <c r="AS76" s="269"/>
      <c r="AT76" s="269"/>
      <c r="AU76" s="269"/>
      <c r="AV76" s="269"/>
      <c r="AW76" s="269"/>
      <c r="AX76" s="269"/>
      <c r="AY76" s="269"/>
      <c r="AZ76" s="269"/>
      <c r="BA76" s="269"/>
      <c r="BB76" s="269"/>
      <c r="BC76" s="269"/>
      <c r="BD76" s="269"/>
      <c r="BE76" s="269"/>
      <c r="BF76" s="269"/>
      <c r="BG76" s="269"/>
    </row>
    <row r="77" spans="3:59" x14ac:dyDescent="0.25">
      <c r="C77" s="88"/>
      <c r="F77" s="2"/>
      <c r="J77" s="89"/>
      <c r="K77" s="89"/>
      <c r="L77" s="89"/>
      <c r="M77" s="89"/>
      <c r="N77" s="89"/>
      <c r="O77" s="89"/>
      <c r="P77" s="89"/>
      <c r="Q77" s="89"/>
      <c r="R77" s="89"/>
      <c r="S77" s="89"/>
      <c r="T77" s="89"/>
      <c r="U77" s="89"/>
      <c r="V77" s="89"/>
      <c r="W77" s="89"/>
      <c r="X77" s="89"/>
      <c r="Y77" s="89"/>
    </row>
    <row r="78" spans="3:59" x14ac:dyDescent="0.25">
      <c r="E78" s="32" t="s">
        <v>755</v>
      </c>
      <c r="H78" s="210"/>
      <c r="I78" s="210"/>
      <c r="J78" s="89"/>
      <c r="K78" s="89"/>
      <c r="L78" s="89"/>
      <c r="M78" s="89"/>
      <c r="N78" s="89"/>
      <c r="O78" s="89"/>
      <c r="P78" s="89"/>
      <c r="Q78" s="89"/>
      <c r="R78" s="89"/>
      <c r="S78" s="89"/>
      <c r="T78" s="89"/>
      <c r="U78" s="89"/>
      <c r="V78" s="89"/>
      <c r="W78" s="89"/>
      <c r="X78" s="89"/>
      <c r="Y78" s="89"/>
    </row>
    <row r="79" spans="3:59" x14ac:dyDescent="0.25">
      <c r="E79" s="29" t="s">
        <v>756</v>
      </c>
      <c r="H79" s="210"/>
      <c r="I79" s="210"/>
      <c r="J79" s="89"/>
      <c r="K79" s="89"/>
      <c r="L79" s="89"/>
      <c r="M79" s="89"/>
      <c r="N79" s="89"/>
      <c r="O79" s="89"/>
      <c r="P79" s="89"/>
      <c r="Q79" s="89"/>
      <c r="R79" s="89"/>
      <c r="S79" s="89"/>
      <c r="T79" s="89"/>
      <c r="U79" s="89"/>
      <c r="V79" s="89"/>
      <c r="W79" s="89"/>
      <c r="X79" s="89"/>
      <c r="Y79" s="89"/>
    </row>
    <row r="80" spans="3:59" x14ac:dyDescent="0.25">
      <c r="D80"/>
      <c r="E80" s="29" t="s">
        <v>757</v>
      </c>
      <c r="H80" s="210"/>
      <c r="I80" s="210"/>
      <c r="J80" s="89"/>
      <c r="K80" s="89"/>
      <c r="L80" s="89"/>
      <c r="M80" s="89"/>
      <c r="N80" s="89"/>
      <c r="O80" s="89"/>
      <c r="P80" s="89"/>
      <c r="Q80" s="89"/>
      <c r="R80" s="89"/>
      <c r="S80" s="89"/>
      <c r="T80" s="89"/>
      <c r="U80" s="89"/>
      <c r="V80" s="89"/>
      <c r="W80" s="89"/>
      <c r="X80" s="89"/>
      <c r="Y80" s="89"/>
    </row>
    <row r="81" spans="3:59" x14ac:dyDescent="0.25">
      <c r="D81"/>
      <c r="E81" s="29" t="s">
        <v>758</v>
      </c>
      <c r="H81" s="210"/>
      <c r="I81" s="210"/>
      <c r="J81" s="89"/>
      <c r="K81" s="89"/>
      <c r="L81" s="89"/>
      <c r="M81" s="89"/>
      <c r="N81" s="89"/>
      <c r="O81" s="89"/>
      <c r="P81" s="89"/>
      <c r="Q81" s="89"/>
      <c r="R81" s="89"/>
      <c r="S81" s="89"/>
      <c r="T81" s="89"/>
      <c r="U81" s="89"/>
      <c r="V81" s="89"/>
      <c r="W81" s="89"/>
      <c r="X81" s="89"/>
      <c r="Y81" s="89"/>
    </row>
    <row r="82" spans="3:59" x14ac:dyDescent="0.25">
      <c r="F82" s="23" t="s">
        <v>759</v>
      </c>
      <c r="G82" s="23" t="s">
        <v>207</v>
      </c>
      <c r="H82" s="23"/>
      <c r="I82" s="23"/>
      <c r="J82" s="126">
        <f t="shared" ref="J82:K82" si="78">J29</f>
        <v>995604.37579133769</v>
      </c>
      <c r="K82" s="126">
        <f t="shared" si="78"/>
        <v>844.76303646099564</v>
      </c>
      <c r="L82" s="126">
        <f t="shared" ref="L82:M82" si="79">L29</f>
        <v>328562.10394094384</v>
      </c>
      <c r="M82" s="126">
        <f t="shared" si="79"/>
        <v>29.861394683968697</v>
      </c>
      <c r="N82" s="126">
        <f t="shared" ref="N82:P82" si="80">N29</f>
        <v>347180.92198321945</v>
      </c>
      <c r="O82" s="126">
        <f t="shared" si="80"/>
        <v>28854.519217997538</v>
      </c>
      <c r="P82" s="126">
        <f t="shared" si="80"/>
        <v>692748.3888782725</v>
      </c>
      <c r="Q82" s="126">
        <f t="shared" ref="Q82" si="81">Q29</f>
        <v>9808.580008541272</v>
      </c>
      <c r="R82" s="83"/>
      <c r="S82" s="83"/>
      <c r="T82" s="83"/>
      <c r="U82" s="83"/>
      <c r="V82" s="83"/>
      <c r="W82" s="83"/>
      <c r="X82" s="83"/>
      <c r="Y82" s="83"/>
    </row>
    <row r="83" spans="3:59" x14ac:dyDescent="0.25">
      <c r="C83" s="88"/>
      <c r="F83" t="s">
        <v>760</v>
      </c>
      <c r="G83" t="s">
        <v>207</v>
      </c>
      <c r="J83" s="98">
        <f t="shared" ref="J83:K83" si="82">J30</f>
        <v>2948496.3431510031</v>
      </c>
      <c r="K83" s="98">
        <f t="shared" si="82"/>
        <v>5440.3358304795011</v>
      </c>
      <c r="L83" s="98">
        <f t="shared" ref="L83:M83" si="83">L30</f>
        <v>1353711.1758886508</v>
      </c>
      <c r="M83" s="98">
        <f t="shared" si="83"/>
        <v>464.08328869228717</v>
      </c>
      <c r="N83" s="98">
        <f t="shared" ref="N83:P83" si="84">N30</f>
        <v>1461933.0859632664</v>
      </c>
      <c r="O83" s="98">
        <f t="shared" si="84"/>
        <v>107141.34606800493</v>
      </c>
      <c r="P83" s="98">
        <f t="shared" si="84"/>
        <v>2644422.1226810566</v>
      </c>
      <c r="Q83" s="98">
        <f t="shared" ref="Q83" si="85">Q30</f>
        <v>49098.696890577165</v>
      </c>
      <c r="R83" s="79"/>
      <c r="S83" s="79"/>
      <c r="T83" s="79"/>
      <c r="U83" s="79"/>
      <c r="V83" s="79"/>
      <c r="W83" s="79"/>
      <c r="X83" s="79"/>
      <c r="Y83" s="79"/>
    </row>
    <row r="84" spans="3:59" x14ac:dyDescent="0.25">
      <c r="C84" s="88"/>
      <c r="F84" s="37" t="s">
        <v>761</v>
      </c>
      <c r="G84" s="37" t="s">
        <v>207</v>
      </c>
      <c r="H84" s="37"/>
      <c r="I84" s="37"/>
      <c r="J84" s="100">
        <f t="shared" ref="J84:K84" si="86">J31</f>
        <v>4874128.0393072097</v>
      </c>
      <c r="K84" s="100">
        <f t="shared" si="86"/>
        <v>9899.7165488828668</v>
      </c>
      <c r="L84" s="100">
        <f t="shared" ref="L84:M84" si="87">L31</f>
        <v>1485109.921576333</v>
      </c>
      <c r="M84" s="100">
        <f t="shared" si="87"/>
        <v>1793.2522001264201</v>
      </c>
      <c r="N84" s="100">
        <f t="shared" ref="N84:P84" si="88">N31</f>
        <v>1600581.2557186417</v>
      </c>
      <c r="O84" s="100">
        <f t="shared" si="88"/>
        <v>124458.65238182069</v>
      </c>
      <c r="P84" s="100">
        <f t="shared" si="88"/>
        <v>3773369.7704526572</v>
      </c>
      <c r="Q84" s="100">
        <f t="shared" ref="Q84" si="89">Q31</f>
        <v>162629.81891852972</v>
      </c>
      <c r="R84" s="81"/>
      <c r="S84" s="81"/>
      <c r="T84" s="81"/>
      <c r="U84" s="81"/>
      <c r="V84" s="81"/>
      <c r="W84" s="81"/>
      <c r="X84" s="81"/>
      <c r="Y84" s="81"/>
    </row>
    <row r="85" spans="3:59" x14ac:dyDescent="0.25">
      <c r="C85" s="88"/>
      <c r="F85" s="2"/>
    </row>
    <row r="86" spans="3:59" x14ac:dyDescent="0.25">
      <c r="E86" s="32" t="s">
        <v>762</v>
      </c>
      <c r="H86" s="210"/>
      <c r="I86" s="210" t="s">
        <v>154</v>
      </c>
      <c r="BG86" t="s">
        <v>763</v>
      </c>
    </row>
    <row r="87" spans="3:59" x14ac:dyDescent="0.25">
      <c r="E87" s="29" t="s">
        <v>764</v>
      </c>
      <c r="H87" s="210"/>
      <c r="I87" s="210"/>
    </row>
    <row r="88" spans="3:59" x14ac:dyDescent="0.25">
      <c r="D88"/>
      <c r="E88" s="29" t="s">
        <v>765</v>
      </c>
      <c r="H88" s="210"/>
      <c r="I88" s="210"/>
    </row>
    <row r="89" spans="3:59" x14ac:dyDescent="0.25">
      <c r="D89"/>
      <c r="E89" s="29" t="s">
        <v>766</v>
      </c>
      <c r="H89" s="210"/>
      <c r="I89" s="210"/>
    </row>
    <row r="90" spans="3:59" x14ac:dyDescent="0.25">
      <c r="E90" s="88"/>
      <c r="F90" t="s">
        <v>767</v>
      </c>
      <c r="G90" t="s">
        <v>269</v>
      </c>
      <c r="H90" s="287">
        <f>H60/SUM(J82:Y84)/ten</f>
        <v>0.87357481231135681</v>
      </c>
      <c r="I90" s="269"/>
      <c r="J90" s="269"/>
      <c r="K90" s="269"/>
      <c r="L90" s="269"/>
      <c r="M90" s="269"/>
      <c r="N90" s="269"/>
      <c r="O90" s="269"/>
      <c r="P90" s="269"/>
      <c r="Q90" s="269"/>
      <c r="R90" s="269"/>
      <c r="S90" s="269"/>
      <c r="T90" s="269"/>
      <c r="U90" s="269"/>
      <c r="V90" s="269"/>
      <c r="W90" s="269"/>
      <c r="X90" s="269"/>
      <c r="Y90" s="269"/>
      <c r="Z90" s="269"/>
      <c r="AA90" s="269"/>
      <c r="AB90" s="269"/>
      <c r="AC90" s="269"/>
      <c r="AD90" s="269"/>
      <c r="AE90" s="269"/>
      <c r="AF90" s="269"/>
      <c r="AG90" s="269"/>
      <c r="AH90" s="269"/>
      <c r="AI90" s="269"/>
      <c r="AJ90" s="269"/>
      <c r="AK90" s="269"/>
      <c r="AL90" s="269"/>
      <c r="AM90" s="269"/>
      <c r="AN90" s="269"/>
      <c r="AO90" s="269"/>
      <c r="AP90" s="269"/>
      <c r="AQ90" s="269"/>
      <c r="AR90" s="269"/>
      <c r="AS90" s="269"/>
      <c r="AT90" s="269"/>
      <c r="AU90" s="269"/>
      <c r="AV90" s="269"/>
      <c r="AW90" s="269"/>
      <c r="AX90" s="269"/>
      <c r="AY90" s="269"/>
      <c r="AZ90" s="269"/>
      <c r="BA90" s="269"/>
      <c r="BB90" s="269"/>
      <c r="BC90" s="269"/>
      <c r="BD90" s="269"/>
      <c r="BE90" s="269"/>
      <c r="BF90" s="269"/>
      <c r="BG90" s="269"/>
    </row>
    <row r="91" spans="3:59" x14ac:dyDescent="0.25">
      <c r="D91" s="88"/>
    </row>
    <row r="92" spans="3:59" x14ac:dyDescent="0.25">
      <c r="C92" s="31" t="str">
        <f ca="1">INDEX('Version control'!$H$34:$H$57,MATCH($A$1,'Version control'!$F$34:$F$57,0),1)&amp;"-D: Algorithm to find constrained adder solution"</f>
        <v>Section 115-D: Algorithm to find constrained adder solution</v>
      </c>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c r="AR92" s="31"/>
      <c r="AS92" s="31"/>
      <c r="AT92" s="31"/>
      <c r="AU92" s="31"/>
      <c r="AV92" s="31"/>
      <c r="AW92" s="31"/>
      <c r="AX92" s="31"/>
      <c r="AY92" s="31"/>
      <c r="AZ92" s="31"/>
      <c r="BA92" s="31"/>
      <c r="BB92" s="31"/>
      <c r="BC92" s="31"/>
      <c r="BD92" s="31"/>
      <c r="BE92" s="31"/>
      <c r="BF92" s="31"/>
      <c r="BG92" s="31"/>
    </row>
    <row r="93" spans="3:59" x14ac:dyDescent="0.25">
      <c r="D93" s="88"/>
    </row>
    <row r="94" spans="3:59" x14ac:dyDescent="0.25">
      <c r="D94" s="29" t="s">
        <v>768</v>
      </c>
      <c r="E94"/>
      <c r="I94" t="s">
        <v>154</v>
      </c>
      <c r="BG94" t="s">
        <v>763</v>
      </c>
    </row>
    <row r="95" spans="3:59" x14ac:dyDescent="0.25">
      <c r="D95" s="29" t="s">
        <v>769</v>
      </c>
      <c r="E95"/>
    </row>
    <row r="96" spans="3:59" x14ac:dyDescent="0.25">
      <c r="D96" s="29" t="s">
        <v>770</v>
      </c>
      <c r="E96"/>
    </row>
    <row r="97" spans="3:59" outlineLevel="1" x14ac:dyDescent="0.25"/>
    <row r="98" spans="3:59" outlineLevel="1" x14ac:dyDescent="0.25">
      <c r="D98" s="32" t="s">
        <v>771</v>
      </c>
      <c r="E98"/>
      <c r="H98" s="210"/>
      <c r="I98" s="210"/>
    </row>
    <row r="99" spans="3:59" outlineLevel="1" x14ac:dyDescent="0.25">
      <c r="D99" s="32" t="s">
        <v>772</v>
      </c>
      <c r="E99"/>
      <c r="H99" s="210"/>
      <c r="I99" s="210"/>
    </row>
    <row r="100" spans="3:59" outlineLevel="1" x14ac:dyDescent="0.25">
      <c r="D100" s="32"/>
      <c r="E100"/>
      <c r="H100" s="210"/>
      <c r="I100" s="210"/>
    </row>
    <row r="101" spans="3:59" ht="75" outlineLevel="1" x14ac:dyDescent="0.25">
      <c r="D101"/>
      <c r="E101" s="211" t="s">
        <v>773</v>
      </c>
      <c r="F101" s="211"/>
      <c r="G101" s="211"/>
      <c r="H101" s="212"/>
      <c r="I101" s="211"/>
      <c r="J101" s="61" t="s">
        <v>956</v>
      </c>
      <c r="K101" s="61" t="s">
        <v>957</v>
      </c>
      <c r="L101" s="61" t="s">
        <v>958</v>
      </c>
      <c r="M101" s="61" t="s">
        <v>959</v>
      </c>
      <c r="N101" s="61" t="s">
        <v>960</v>
      </c>
      <c r="O101" s="61" t="s">
        <v>961</v>
      </c>
      <c r="P101" s="61" t="s">
        <v>962</v>
      </c>
      <c r="Q101" s="61" t="s">
        <v>963</v>
      </c>
      <c r="R101" s="61" t="s">
        <v>964</v>
      </c>
      <c r="S101" s="61" t="s">
        <v>965</v>
      </c>
      <c r="T101" s="61" t="s">
        <v>966</v>
      </c>
      <c r="U101" s="61" t="s">
        <v>967</v>
      </c>
      <c r="V101" s="61" t="s">
        <v>968</v>
      </c>
      <c r="W101" s="61" t="s">
        <v>969</v>
      </c>
      <c r="X101" s="61" t="s">
        <v>970</v>
      </c>
      <c r="Y101" s="61" t="s">
        <v>971</v>
      </c>
      <c r="Z101" s="61" t="s">
        <v>972</v>
      </c>
      <c r="AA101" s="61" t="s">
        <v>973</v>
      </c>
      <c r="AB101" s="61" t="s">
        <v>974</v>
      </c>
      <c r="AC101" s="61" t="s">
        <v>975</v>
      </c>
      <c r="AD101" s="61" t="s">
        <v>976</v>
      </c>
      <c r="AE101" s="61" t="s">
        <v>977</v>
      </c>
      <c r="AF101" s="61" t="s">
        <v>978</v>
      </c>
      <c r="AG101" s="61" t="s">
        <v>979</v>
      </c>
      <c r="AH101" s="61" t="s">
        <v>980</v>
      </c>
      <c r="AI101" s="61" t="s">
        <v>981</v>
      </c>
      <c r="AJ101" s="61" t="s">
        <v>982</v>
      </c>
      <c r="AK101" s="61" t="s">
        <v>983</v>
      </c>
      <c r="AL101" s="61" t="s">
        <v>984</v>
      </c>
      <c r="AM101" s="61" t="s">
        <v>985</v>
      </c>
      <c r="AN101" s="61" t="s">
        <v>986</v>
      </c>
      <c r="AO101" s="61" t="s">
        <v>987</v>
      </c>
      <c r="AP101" s="61" t="s">
        <v>988</v>
      </c>
      <c r="AQ101" s="61" t="s">
        <v>989</v>
      </c>
      <c r="AR101" s="61" t="s">
        <v>990</v>
      </c>
      <c r="AS101" s="61" t="s">
        <v>991</v>
      </c>
      <c r="AT101" s="61" t="s">
        <v>992</v>
      </c>
      <c r="AU101" s="61" t="s">
        <v>993</v>
      </c>
      <c r="AV101" s="61" t="s">
        <v>994</v>
      </c>
      <c r="AW101" s="61" t="s">
        <v>995</v>
      </c>
      <c r="AX101" s="61" t="s">
        <v>996</v>
      </c>
      <c r="AY101" s="61" t="s">
        <v>997</v>
      </c>
      <c r="AZ101" s="61" t="s">
        <v>998</v>
      </c>
      <c r="BA101" s="61" t="s">
        <v>999</v>
      </c>
      <c r="BB101" s="61" t="s">
        <v>1000</v>
      </c>
      <c r="BC101" s="61" t="s">
        <v>1001</v>
      </c>
      <c r="BD101" s="61" t="s">
        <v>1002</v>
      </c>
      <c r="BE101" s="61" t="s">
        <v>1003</v>
      </c>
    </row>
    <row r="102" spans="3:59" outlineLevel="1" x14ac:dyDescent="0.25">
      <c r="C102" s="88"/>
      <c r="E102" t="s">
        <v>820</v>
      </c>
      <c r="G102" t="s">
        <v>269</v>
      </c>
      <c r="H102" s="269"/>
      <c r="I102" s="269"/>
      <c r="J102" s="269">
        <f t="shared" ref="J102:K102" si="90">J74</f>
        <v>-7.8691541236145142</v>
      </c>
      <c r="K102" s="269">
        <f t="shared" si="90"/>
        <v>-7.8691541236145142</v>
      </c>
      <c r="L102" s="269">
        <f t="shared" ref="L102:M102" si="91">L74</f>
        <v>-6.8165257676017825</v>
      </c>
      <c r="M102" s="269">
        <f t="shared" si="91"/>
        <v>-6.8165257676017825</v>
      </c>
      <c r="N102" s="269">
        <f t="shared" ref="N102:P102" si="92">N74</f>
        <v>-4.9279316341979271</v>
      </c>
      <c r="O102" s="269">
        <f t="shared" si="92"/>
        <v>-3.3100709696873514</v>
      </c>
      <c r="P102" s="269">
        <f t="shared" si="92"/>
        <v>-2.0294324650108937</v>
      </c>
      <c r="Q102" s="269">
        <f t="shared" ref="Q102:S102" si="93">Q74</f>
        <v>-20.888686876550693</v>
      </c>
      <c r="R102" s="269">
        <f t="shared" si="93"/>
        <v>4.752126966792952</v>
      </c>
      <c r="S102" s="269">
        <f t="shared" si="93"/>
        <v>4.1687283895347562</v>
      </c>
      <c r="T102" s="269">
        <f t="shared" ref="T102:U102" si="94">T74</f>
        <v>4.752126966792952</v>
      </c>
      <c r="U102" s="269">
        <f t="shared" si="94"/>
        <v>4.752126966792952</v>
      </c>
      <c r="V102" s="269">
        <f t="shared" ref="V102:W102" si="95">V74</f>
        <v>4.1687283895347562</v>
      </c>
      <c r="W102" s="269">
        <f t="shared" si="95"/>
        <v>4.1687283895347562</v>
      </c>
      <c r="X102" s="269">
        <f t="shared" ref="X102:Y102" si="96">X74</f>
        <v>2.7260556362386072</v>
      </c>
      <c r="Y102" s="290">
        <f t="shared" si="96"/>
        <v>2.7260556362386072</v>
      </c>
      <c r="Z102" s="269">
        <f>J75</f>
        <v>-0.99456313995064261</v>
      </c>
      <c r="AA102" s="269">
        <f t="shared" ref="AA102:AO102" si="97">K75</f>
        <v>-0.99456313995064261</v>
      </c>
      <c r="AB102" s="269">
        <f t="shared" si="97"/>
        <v>-0.86152401700152526</v>
      </c>
      <c r="AC102" s="269">
        <f t="shared" si="97"/>
        <v>-0.86152401700152526</v>
      </c>
      <c r="AD102" s="269">
        <f t="shared" si="97"/>
        <v>-0.59969852693012982</v>
      </c>
      <c r="AE102" s="269">
        <f t="shared" si="97"/>
        <v>-0.3685087304672886</v>
      </c>
      <c r="AF102" s="269">
        <f t="shared" si="97"/>
        <v>-0.19154306505018537</v>
      </c>
      <c r="AG102" s="269">
        <f t="shared" si="97"/>
        <v>-1.6138430534096508</v>
      </c>
      <c r="AH102" s="269">
        <f t="shared" si="97"/>
        <v>0.6006097025542575</v>
      </c>
      <c r="AI102" s="269">
        <f t="shared" si="97"/>
        <v>0.51495336021881366</v>
      </c>
      <c r="AJ102" s="269">
        <f t="shared" si="97"/>
        <v>0.6006097025542575</v>
      </c>
      <c r="AK102" s="269">
        <f t="shared" si="97"/>
        <v>0.6006097025542575</v>
      </c>
      <c r="AL102" s="269">
        <f t="shared" si="97"/>
        <v>0.51495336021881366</v>
      </c>
      <c r="AM102" s="269">
        <f t="shared" si="97"/>
        <v>0.51495336021881366</v>
      </c>
      <c r="AN102" s="269">
        <f t="shared" si="97"/>
        <v>0.29638866966229255</v>
      </c>
      <c r="AO102" s="290">
        <f t="shared" si="97"/>
        <v>0.29638866966229255</v>
      </c>
      <c r="AP102" s="269">
        <f>J76</f>
        <v>-6.1367116408771211E-2</v>
      </c>
      <c r="AQ102" s="269">
        <f t="shared" ref="AQ102:BE102" si="98">K76</f>
        <v>-6.1367116408771211E-2</v>
      </c>
      <c r="AR102" s="269">
        <f t="shared" si="98"/>
        <v>-5.3158258653048969E-2</v>
      </c>
      <c r="AS102" s="269">
        <f t="shared" si="98"/>
        <v>-5.3158258653048969E-2</v>
      </c>
      <c r="AT102" s="269">
        <f t="shared" si="98"/>
        <v>-3.6091446122796002E-2</v>
      </c>
      <c r="AU102" s="269">
        <f t="shared" si="98"/>
        <v>-2.0773794392874644E-2</v>
      </c>
      <c r="AV102" s="269">
        <f t="shared" si="98"/>
        <v>-9.2689579954535039E-3</v>
      </c>
      <c r="AW102" s="269">
        <f t="shared" si="98"/>
        <v>-0.84689138056547619</v>
      </c>
      <c r="AX102" s="269">
        <f t="shared" si="98"/>
        <v>3.7059171059480152E-2</v>
      </c>
      <c r="AY102" s="269">
        <f t="shared" si="98"/>
        <v>3.1304146471503695E-2</v>
      </c>
      <c r="AZ102" s="269">
        <f t="shared" si="98"/>
        <v>3.7059171059480152E-2</v>
      </c>
      <c r="BA102" s="269">
        <f t="shared" si="98"/>
        <v>3.7059171059480152E-2</v>
      </c>
      <c r="BB102" s="269">
        <f t="shared" si="98"/>
        <v>3.1304146471503695E-2</v>
      </c>
      <c r="BC102" s="269">
        <f t="shared" si="98"/>
        <v>3.1304146471503695E-2</v>
      </c>
      <c r="BD102" s="269">
        <f t="shared" si="98"/>
        <v>1.6392243650649556E-2</v>
      </c>
      <c r="BE102" s="269">
        <f t="shared" si="98"/>
        <v>1.6392243650649556E-2</v>
      </c>
      <c r="BF102" s="269"/>
      <c r="BG102" s="269"/>
    </row>
    <row r="103" spans="3:59" outlineLevel="1" x14ac:dyDescent="0.25">
      <c r="C103" s="88"/>
      <c r="E103" t="s">
        <v>821</v>
      </c>
      <c r="G103" t="s">
        <v>207</v>
      </c>
      <c r="J103" s="98">
        <f t="shared" ref="J103:K103" si="99">J82</f>
        <v>995604.37579133769</v>
      </c>
      <c r="K103" s="98">
        <f t="shared" si="99"/>
        <v>844.76303646099564</v>
      </c>
      <c r="L103" s="98">
        <f t="shared" ref="L103:M103" si="100">L82</f>
        <v>328562.10394094384</v>
      </c>
      <c r="M103" s="98">
        <f t="shared" si="100"/>
        <v>29.861394683968697</v>
      </c>
      <c r="N103" s="98">
        <f t="shared" ref="N103:P103" si="101">N82</f>
        <v>347180.92198321945</v>
      </c>
      <c r="O103" s="98">
        <f t="shared" si="101"/>
        <v>28854.519217997538</v>
      </c>
      <c r="P103" s="98">
        <f t="shared" si="101"/>
        <v>692748.3888782725</v>
      </c>
      <c r="Q103" s="98">
        <f t="shared" ref="Q103:S103" si="102">Q82</f>
        <v>9808.580008541272</v>
      </c>
      <c r="R103" s="98">
        <f t="shared" si="102"/>
        <v>0</v>
      </c>
      <c r="S103" s="98">
        <f t="shared" si="102"/>
        <v>0</v>
      </c>
      <c r="T103" s="98">
        <f t="shared" ref="T103:U103" si="103">T82</f>
        <v>0</v>
      </c>
      <c r="U103" s="98">
        <f t="shared" si="103"/>
        <v>0</v>
      </c>
      <c r="V103" s="98">
        <f t="shared" ref="V103:W103" si="104">V82</f>
        <v>0</v>
      </c>
      <c r="W103" s="98">
        <f t="shared" si="104"/>
        <v>0</v>
      </c>
      <c r="X103" s="98">
        <f t="shared" ref="X103:Y103" si="105">X82</f>
        <v>0</v>
      </c>
      <c r="Y103" s="213">
        <f t="shared" si="105"/>
        <v>0</v>
      </c>
      <c r="Z103" s="98">
        <f>J83</f>
        <v>2948496.3431510031</v>
      </c>
      <c r="AA103" s="98">
        <f t="shared" ref="AA103:AO103" si="106">K83</f>
        <v>5440.3358304795011</v>
      </c>
      <c r="AB103" s="98">
        <f t="shared" si="106"/>
        <v>1353711.1758886508</v>
      </c>
      <c r="AC103" s="98">
        <f t="shared" si="106"/>
        <v>464.08328869228717</v>
      </c>
      <c r="AD103" s="98">
        <f t="shared" si="106"/>
        <v>1461933.0859632664</v>
      </c>
      <c r="AE103" s="98">
        <f t="shared" si="106"/>
        <v>107141.34606800493</v>
      </c>
      <c r="AF103" s="98">
        <f t="shared" si="106"/>
        <v>2644422.1226810566</v>
      </c>
      <c r="AG103" s="98">
        <f t="shared" si="106"/>
        <v>49098.696890577165</v>
      </c>
      <c r="AH103" s="98">
        <f t="shared" si="106"/>
        <v>0</v>
      </c>
      <c r="AI103" s="98">
        <f t="shared" si="106"/>
        <v>0</v>
      </c>
      <c r="AJ103" s="98">
        <f t="shared" si="106"/>
        <v>0</v>
      </c>
      <c r="AK103" s="98">
        <f t="shared" si="106"/>
        <v>0</v>
      </c>
      <c r="AL103" s="98">
        <f t="shared" si="106"/>
        <v>0</v>
      </c>
      <c r="AM103" s="98">
        <f t="shared" si="106"/>
        <v>0</v>
      </c>
      <c r="AN103" s="98">
        <f t="shared" si="106"/>
        <v>0</v>
      </c>
      <c r="AO103" s="213">
        <f t="shared" si="106"/>
        <v>0</v>
      </c>
      <c r="AP103" s="98">
        <f>J84</f>
        <v>4874128.0393072097</v>
      </c>
      <c r="AQ103" s="98">
        <f t="shared" ref="AQ103:BE103" si="107">K84</f>
        <v>9899.7165488828668</v>
      </c>
      <c r="AR103" s="98">
        <f t="shared" si="107"/>
        <v>1485109.921576333</v>
      </c>
      <c r="AS103" s="98">
        <f t="shared" si="107"/>
        <v>1793.2522001264201</v>
      </c>
      <c r="AT103" s="98">
        <f t="shared" si="107"/>
        <v>1600581.2557186417</v>
      </c>
      <c r="AU103" s="98">
        <f t="shared" si="107"/>
        <v>124458.65238182069</v>
      </c>
      <c r="AV103" s="98">
        <f t="shared" si="107"/>
        <v>3773369.7704526572</v>
      </c>
      <c r="AW103" s="98">
        <f t="shared" si="107"/>
        <v>162629.81891852972</v>
      </c>
      <c r="AX103" s="98">
        <f t="shared" si="107"/>
        <v>0</v>
      </c>
      <c r="AY103" s="98">
        <f t="shared" si="107"/>
        <v>0</v>
      </c>
      <c r="AZ103" s="98">
        <f t="shared" si="107"/>
        <v>0</v>
      </c>
      <c r="BA103" s="98">
        <f t="shared" si="107"/>
        <v>0</v>
      </c>
      <c r="BB103" s="98">
        <f t="shared" si="107"/>
        <v>0</v>
      </c>
      <c r="BC103" s="98">
        <f t="shared" si="107"/>
        <v>0</v>
      </c>
      <c r="BD103" s="98">
        <f t="shared" si="107"/>
        <v>0</v>
      </c>
      <c r="BE103" s="98">
        <f t="shared" si="107"/>
        <v>0</v>
      </c>
    </row>
    <row r="104" spans="3:59" outlineLevel="1" x14ac:dyDescent="0.25">
      <c r="D104" s="29"/>
      <c r="E104" s="29"/>
      <c r="H104" s="210"/>
      <c r="I104" s="210"/>
    </row>
    <row r="105" spans="3:59" outlineLevel="1" x14ac:dyDescent="0.25">
      <c r="D105" s="32" t="s">
        <v>822</v>
      </c>
      <c r="E105"/>
      <c r="H105" s="210"/>
      <c r="I105" s="210"/>
    </row>
    <row r="106" spans="3:59" outlineLevel="1" x14ac:dyDescent="0.25">
      <c r="D106" s="32" t="s">
        <v>823</v>
      </c>
      <c r="E106"/>
      <c r="H106" s="210"/>
      <c r="I106" s="210"/>
    </row>
    <row r="107" spans="3:59" outlineLevel="1" x14ac:dyDescent="0.25">
      <c r="D107" s="32"/>
      <c r="E107"/>
      <c r="H107" s="210"/>
      <c r="I107" s="210"/>
    </row>
    <row r="108" spans="3:59" ht="75" outlineLevel="1" x14ac:dyDescent="0.25">
      <c r="D108"/>
      <c r="E108" s="211" t="s">
        <v>773</v>
      </c>
      <c r="F108" s="211"/>
      <c r="G108" s="211"/>
      <c r="H108" s="211"/>
      <c r="I108" s="211"/>
      <c r="J108" s="61" t="s">
        <v>774</v>
      </c>
      <c r="K108" s="61" t="s">
        <v>775</v>
      </c>
      <c r="L108" s="61" t="s">
        <v>774</v>
      </c>
      <c r="M108" s="61" t="s">
        <v>775</v>
      </c>
      <c r="N108" s="61" t="s">
        <v>776</v>
      </c>
      <c r="O108" s="61" t="s">
        <v>777</v>
      </c>
      <c r="P108" s="61" t="s">
        <v>778</v>
      </c>
      <c r="Q108" s="61" t="s">
        <v>779</v>
      </c>
      <c r="R108" s="61" t="s">
        <v>780</v>
      </c>
      <c r="S108" s="61" t="s">
        <v>781</v>
      </c>
      <c r="T108" s="61" t="s">
        <v>782</v>
      </c>
      <c r="U108" s="61" t="s">
        <v>783</v>
      </c>
      <c r="V108" s="61" t="s">
        <v>784</v>
      </c>
      <c r="W108" s="61" t="s">
        <v>785</v>
      </c>
      <c r="X108" s="61" t="s">
        <v>786</v>
      </c>
      <c r="Y108" s="61" t="s">
        <v>787</v>
      </c>
      <c r="Z108" s="61" t="s">
        <v>788</v>
      </c>
      <c r="AA108" s="61" t="s">
        <v>789</v>
      </c>
      <c r="AB108" s="61" t="s">
        <v>790</v>
      </c>
      <c r="AC108" s="61" t="s">
        <v>791</v>
      </c>
      <c r="AD108" s="61" t="s">
        <v>792</v>
      </c>
      <c r="AE108" s="61" t="s">
        <v>793</v>
      </c>
      <c r="AF108" s="61" t="s">
        <v>794</v>
      </c>
      <c r="AG108" s="61" t="s">
        <v>795</v>
      </c>
      <c r="AH108" s="61" t="s">
        <v>796</v>
      </c>
      <c r="AI108" s="61" t="s">
        <v>797</v>
      </c>
      <c r="AJ108" s="61" t="s">
        <v>798</v>
      </c>
      <c r="AK108" s="61" t="s">
        <v>799</v>
      </c>
      <c r="AL108" s="61" t="s">
        <v>800</v>
      </c>
      <c r="AM108" s="61" t="s">
        <v>801</v>
      </c>
      <c r="AN108" s="61" t="s">
        <v>802</v>
      </c>
      <c r="AO108" s="61" t="s">
        <v>803</v>
      </c>
      <c r="AP108" s="61" t="s">
        <v>804</v>
      </c>
      <c r="AQ108" s="61" t="s">
        <v>805</v>
      </c>
      <c r="AR108" s="61" t="s">
        <v>806</v>
      </c>
      <c r="AS108" s="61" t="s">
        <v>807</v>
      </c>
      <c r="AT108" s="61" t="s">
        <v>808</v>
      </c>
      <c r="AU108" s="61" t="s">
        <v>809</v>
      </c>
      <c r="AV108" s="61" t="s">
        <v>810</v>
      </c>
      <c r="AW108" s="61" t="s">
        <v>811</v>
      </c>
      <c r="AX108" s="61" t="s">
        <v>812</v>
      </c>
      <c r="AY108" s="61" t="s">
        <v>813</v>
      </c>
      <c r="AZ108" s="61" t="s">
        <v>814</v>
      </c>
      <c r="BA108" s="61" t="s">
        <v>815</v>
      </c>
      <c r="BB108" s="61" t="s">
        <v>816</v>
      </c>
      <c r="BC108" s="61" t="s">
        <v>817</v>
      </c>
      <c r="BD108" s="61" t="s">
        <v>818</v>
      </c>
      <c r="BE108" s="61" t="s">
        <v>819</v>
      </c>
    </row>
    <row r="109" spans="3:59" outlineLevel="1" x14ac:dyDescent="0.25">
      <c r="C109" s="88"/>
      <c r="E109" t="s">
        <v>824</v>
      </c>
      <c r="G109" t="s">
        <v>571</v>
      </c>
      <c r="J109" s="89">
        <f t="shared" ref="J109:BE109" si="108">RANK(J102, $J$102:$BE$102, 1)</f>
        <v>2</v>
      </c>
      <c r="K109" s="89">
        <f t="shared" si="108"/>
        <v>2</v>
      </c>
      <c r="L109" s="89">
        <f t="shared" si="108"/>
        <v>4</v>
      </c>
      <c r="M109" s="89">
        <f t="shared" si="108"/>
        <v>4</v>
      </c>
      <c r="N109" s="89">
        <f t="shared" si="108"/>
        <v>6</v>
      </c>
      <c r="O109" s="89">
        <f t="shared" si="108"/>
        <v>7</v>
      </c>
      <c r="P109" s="89">
        <f t="shared" si="108"/>
        <v>8</v>
      </c>
      <c r="Q109" s="89">
        <f t="shared" si="108"/>
        <v>1</v>
      </c>
      <c r="R109" s="89">
        <f t="shared" si="108"/>
        <v>46</v>
      </c>
      <c r="S109" s="89">
        <f t="shared" si="108"/>
        <v>43</v>
      </c>
      <c r="T109" s="89">
        <f t="shared" si="108"/>
        <v>46</v>
      </c>
      <c r="U109" s="89">
        <f t="shared" si="108"/>
        <v>46</v>
      </c>
      <c r="V109" s="89">
        <f t="shared" si="108"/>
        <v>43</v>
      </c>
      <c r="W109" s="89">
        <f t="shared" si="108"/>
        <v>43</v>
      </c>
      <c r="X109" s="89">
        <f t="shared" si="108"/>
        <v>41</v>
      </c>
      <c r="Y109" s="89">
        <f t="shared" si="108"/>
        <v>41</v>
      </c>
      <c r="Z109" s="89">
        <f t="shared" si="108"/>
        <v>10</v>
      </c>
      <c r="AA109" s="89">
        <f t="shared" si="108"/>
        <v>10</v>
      </c>
      <c r="AB109" s="89">
        <f t="shared" si="108"/>
        <v>12</v>
      </c>
      <c r="AC109" s="89">
        <f t="shared" si="108"/>
        <v>12</v>
      </c>
      <c r="AD109" s="89">
        <f t="shared" si="108"/>
        <v>15</v>
      </c>
      <c r="AE109" s="89">
        <f t="shared" si="108"/>
        <v>16</v>
      </c>
      <c r="AF109" s="89">
        <f t="shared" si="108"/>
        <v>17</v>
      </c>
      <c r="AG109" s="89">
        <f t="shared" si="108"/>
        <v>9</v>
      </c>
      <c r="AH109" s="89">
        <f t="shared" si="108"/>
        <v>38</v>
      </c>
      <c r="AI109" s="89">
        <f t="shared" si="108"/>
        <v>35</v>
      </c>
      <c r="AJ109" s="89">
        <f t="shared" si="108"/>
        <v>38</v>
      </c>
      <c r="AK109" s="89">
        <f t="shared" si="108"/>
        <v>38</v>
      </c>
      <c r="AL109" s="89">
        <f t="shared" si="108"/>
        <v>35</v>
      </c>
      <c r="AM109" s="89">
        <f t="shared" si="108"/>
        <v>35</v>
      </c>
      <c r="AN109" s="89">
        <f t="shared" si="108"/>
        <v>33</v>
      </c>
      <c r="AO109" s="89">
        <f t="shared" si="108"/>
        <v>33</v>
      </c>
      <c r="AP109" s="89">
        <f t="shared" si="108"/>
        <v>18</v>
      </c>
      <c r="AQ109" s="89">
        <f t="shared" si="108"/>
        <v>18</v>
      </c>
      <c r="AR109" s="89">
        <f t="shared" si="108"/>
        <v>20</v>
      </c>
      <c r="AS109" s="89">
        <f t="shared" si="108"/>
        <v>20</v>
      </c>
      <c r="AT109" s="89">
        <f t="shared" si="108"/>
        <v>22</v>
      </c>
      <c r="AU109" s="89">
        <f t="shared" si="108"/>
        <v>23</v>
      </c>
      <c r="AV109" s="89">
        <f t="shared" si="108"/>
        <v>24</v>
      </c>
      <c r="AW109" s="89">
        <f t="shared" si="108"/>
        <v>14</v>
      </c>
      <c r="AX109" s="89">
        <f t="shared" si="108"/>
        <v>30</v>
      </c>
      <c r="AY109" s="89">
        <f t="shared" si="108"/>
        <v>27</v>
      </c>
      <c r="AZ109" s="89">
        <f t="shared" si="108"/>
        <v>30</v>
      </c>
      <c r="BA109" s="89">
        <f t="shared" si="108"/>
        <v>30</v>
      </c>
      <c r="BB109" s="89">
        <f t="shared" si="108"/>
        <v>27</v>
      </c>
      <c r="BC109" s="89">
        <f t="shared" si="108"/>
        <v>27</v>
      </c>
      <c r="BD109" s="89">
        <f t="shared" si="108"/>
        <v>25</v>
      </c>
      <c r="BE109" s="89">
        <f t="shared" si="108"/>
        <v>25</v>
      </c>
    </row>
    <row r="110" spans="3:59" outlineLevel="1" x14ac:dyDescent="0.25">
      <c r="C110" s="88"/>
      <c r="E110" t="s">
        <v>825</v>
      </c>
      <c r="G110" t="s">
        <v>571</v>
      </c>
      <c r="J110" s="98">
        <f>J109 + (COUNT($J$109:J$109) / COUNT($J$109:$BE$109))</f>
        <v>2.0208333333333335</v>
      </c>
      <c r="K110" s="98">
        <f>K109 + (COUNT($J$109:K$109) / COUNT($J$109:$BE$109))</f>
        <v>2.0416666666666665</v>
      </c>
      <c r="L110" s="98">
        <f>L109 + (COUNT($J$109:L$109) / COUNT($J$109:$BE$109))</f>
        <v>4.0625</v>
      </c>
      <c r="M110" s="98">
        <f>M109 + (COUNT($J$109:M$109) / COUNT($J$109:$BE$109))</f>
        <v>4.083333333333333</v>
      </c>
      <c r="N110" s="98">
        <f>N109 + (COUNT($J$109:N$109) / COUNT($J$109:$BE$109))</f>
        <v>6.104166666666667</v>
      </c>
      <c r="O110" s="98">
        <f>O109 + (COUNT($J$109:O$109) / COUNT($J$109:$BE$109))</f>
        <v>7.125</v>
      </c>
      <c r="P110" s="98">
        <f>P109 + (COUNT($J$109:P$109) / COUNT($J$109:$BE$109))</f>
        <v>8.1458333333333339</v>
      </c>
      <c r="Q110" s="98">
        <f>Q109 + (COUNT($J$109:Q$109) / COUNT($J$109:$BE$109))</f>
        <v>1.1666666666666667</v>
      </c>
      <c r="R110" s="98">
        <f>R109 + (COUNT($J$109:R$109) / COUNT($J$109:$BE$109))</f>
        <v>46.1875</v>
      </c>
      <c r="S110" s="98">
        <f>S109 + (COUNT($J$109:S$109) / COUNT($J$109:$BE$109))</f>
        <v>43.208333333333336</v>
      </c>
      <c r="T110" s="98">
        <f>T109 + (COUNT($J$109:T$109) / COUNT($J$109:$BE$109))</f>
        <v>46.229166666666664</v>
      </c>
      <c r="U110" s="98">
        <f>U109 + (COUNT($J$109:U$109) / COUNT($J$109:$BE$109))</f>
        <v>46.25</v>
      </c>
      <c r="V110" s="98">
        <f>V109 + (COUNT($J$109:V$109) / COUNT($J$109:$BE$109))</f>
        <v>43.270833333333336</v>
      </c>
      <c r="W110" s="98">
        <f>W109 + (COUNT($J$109:W$109) / COUNT($J$109:$BE$109))</f>
        <v>43.291666666666664</v>
      </c>
      <c r="X110" s="98">
        <f>X109 + (COUNT($J$109:X$109) / COUNT($J$109:$BE$109))</f>
        <v>41.3125</v>
      </c>
      <c r="Y110" s="98">
        <f>Y109 + (COUNT($J$109:Y$109) / COUNT($J$109:$BE$109))</f>
        <v>41.333333333333336</v>
      </c>
      <c r="Z110" s="98">
        <f>Z109 + (COUNT($J$109:Z$109) / COUNT($J$109:$BE$109))</f>
        <v>10.354166666666666</v>
      </c>
      <c r="AA110" s="98">
        <f>AA109 + (COUNT($J$109:AA$109) / COUNT($J$109:$BE$109))</f>
        <v>10.375</v>
      </c>
      <c r="AB110" s="98">
        <f>AB109 + (COUNT($J$109:AB$109) / COUNT($J$109:$BE$109))</f>
        <v>12.395833333333334</v>
      </c>
      <c r="AC110" s="98">
        <f>AC109 + (COUNT($J$109:AC$109) / COUNT($J$109:$BE$109))</f>
        <v>12.416666666666666</v>
      </c>
      <c r="AD110" s="98">
        <f>AD109 + (COUNT($J$109:AD$109) / COUNT($J$109:$BE$109))</f>
        <v>15.4375</v>
      </c>
      <c r="AE110" s="98">
        <f>AE109 + (COUNT($J$109:AE$109) / COUNT($J$109:$BE$109))</f>
        <v>16.458333333333332</v>
      </c>
      <c r="AF110" s="98">
        <f>AF109 + (COUNT($J$109:AF$109) / COUNT($J$109:$BE$109))</f>
        <v>17.479166666666668</v>
      </c>
      <c r="AG110" s="98">
        <f>AG109 + (COUNT($J$109:AG$109) / COUNT($J$109:$BE$109))</f>
        <v>9.5</v>
      </c>
      <c r="AH110" s="98">
        <f>AH109 + (COUNT($J$109:AH$109) / COUNT($J$109:$BE$109))</f>
        <v>38.520833333333336</v>
      </c>
      <c r="AI110" s="98">
        <f>AI109 + (COUNT($J$109:AI$109) / COUNT($J$109:$BE$109))</f>
        <v>35.541666666666664</v>
      </c>
      <c r="AJ110" s="98">
        <f>AJ109 + (COUNT($J$109:AJ$109) / COUNT($J$109:$BE$109))</f>
        <v>38.5625</v>
      </c>
      <c r="AK110" s="98">
        <f>AK109 + (COUNT($J$109:AK$109) / COUNT($J$109:$BE$109))</f>
        <v>38.583333333333336</v>
      </c>
      <c r="AL110" s="98">
        <f>AL109 + (COUNT($J$109:AL$109) / COUNT($J$109:$BE$109))</f>
        <v>35.604166666666664</v>
      </c>
      <c r="AM110" s="98">
        <f>AM109 + (COUNT($J$109:AM$109) / COUNT($J$109:$BE$109))</f>
        <v>35.625</v>
      </c>
      <c r="AN110" s="98">
        <f>AN109 + (COUNT($J$109:AN$109) / COUNT($J$109:$BE$109))</f>
        <v>33.645833333333336</v>
      </c>
      <c r="AO110" s="98">
        <f>AO109 + (COUNT($J$109:AO$109) / COUNT($J$109:$BE$109))</f>
        <v>33.666666666666664</v>
      </c>
      <c r="AP110" s="98">
        <f>AP109 + (COUNT($J$109:AP$109) / COUNT($J$109:$BE$109))</f>
        <v>18.6875</v>
      </c>
      <c r="AQ110" s="98">
        <f>AQ109 + (COUNT($J$109:AQ$109) / COUNT($J$109:$BE$109))</f>
        <v>18.708333333333332</v>
      </c>
      <c r="AR110" s="98">
        <f>AR109 + (COUNT($J$109:AR$109) / COUNT($J$109:$BE$109))</f>
        <v>20.729166666666668</v>
      </c>
      <c r="AS110" s="98">
        <f>AS109 + (COUNT($J$109:AS$109) / COUNT($J$109:$BE$109))</f>
        <v>20.75</v>
      </c>
      <c r="AT110" s="98">
        <f>AT109 + (COUNT($J$109:AT$109) / COUNT($J$109:$BE$109))</f>
        <v>22.770833333333332</v>
      </c>
      <c r="AU110" s="98">
        <f>AU109 + (COUNT($J$109:AU$109) / COUNT($J$109:$BE$109))</f>
        <v>23.791666666666668</v>
      </c>
      <c r="AV110" s="98">
        <f>AV109 + (COUNT($J$109:AV$109) / COUNT($J$109:$BE$109))</f>
        <v>24.8125</v>
      </c>
      <c r="AW110" s="98">
        <f>AW109 + (COUNT($J$109:AW$109) / COUNT($J$109:$BE$109))</f>
        <v>14.833333333333334</v>
      </c>
      <c r="AX110" s="98">
        <f>AX109 + (COUNT($J$109:AX$109) / COUNT($J$109:$BE$109))</f>
        <v>30.854166666666668</v>
      </c>
      <c r="AY110" s="98">
        <f>AY109 + (COUNT($J$109:AY$109) / COUNT($J$109:$BE$109))</f>
        <v>27.875</v>
      </c>
      <c r="AZ110" s="98">
        <f>AZ109 + (COUNT($J$109:AZ$109) / COUNT($J$109:$BE$109))</f>
        <v>30.895833333333332</v>
      </c>
      <c r="BA110" s="98">
        <f>BA109 + (COUNT($J$109:BA$109) / COUNT($J$109:$BE$109))</f>
        <v>30.916666666666668</v>
      </c>
      <c r="BB110" s="98">
        <f>BB109 + (COUNT($J$109:BB$109) / COUNT($J$109:$BE$109))</f>
        <v>27.9375</v>
      </c>
      <c r="BC110" s="98">
        <f>BC109 + (COUNT($J$109:BC$109) / COUNT($J$109:$BE$109))</f>
        <v>27.958333333333332</v>
      </c>
      <c r="BD110" s="98">
        <f>BD109 + (COUNT($J$109:BD$109) / COUNT($J$109:$BE$109))</f>
        <v>25.979166666666668</v>
      </c>
      <c r="BE110" s="98">
        <f>BE109 + (COUNT($J$109:BE$109) / COUNT($J$109:$BE$109))</f>
        <v>26</v>
      </c>
    </row>
    <row r="111" spans="3:59" outlineLevel="1" x14ac:dyDescent="0.25">
      <c r="C111" s="88"/>
      <c r="E111" t="s">
        <v>826</v>
      </c>
      <c r="G111" t="s">
        <v>571</v>
      </c>
      <c r="J111" s="89">
        <f t="shared" ref="J111:BE111" si="109">RANK(J110, $J$110:$BE$110, 1)</f>
        <v>2</v>
      </c>
      <c r="K111" s="89">
        <f t="shared" si="109"/>
        <v>3</v>
      </c>
      <c r="L111" s="89">
        <f t="shared" si="109"/>
        <v>4</v>
      </c>
      <c r="M111" s="89">
        <f t="shared" si="109"/>
        <v>5</v>
      </c>
      <c r="N111" s="89">
        <f t="shared" si="109"/>
        <v>6</v>
      </c>
      <c r="O111" s="89">
        <f t="shared" si="109"/>
        <v>7</v>
      </c>
      <c r="P111" s="89">
        <f t="shared" si="109"/>
        <v>8</v>
      </c>
      <c r="Q111" s="89">
        <f t="shared" si="109"/>
        <v>1</v>
      </c>
      <c r="R111" s="89">
        <f t="shared" si="109"/>
        <v>46</v>
      </c>
      <c r="S111" s="89">
        <f t="shared" si="109"/>
        <v>43</v>
      </c>
      <c r="T111" s="89">
        <f t="shared" si="109"/>
        <v>47</v>
      </c>
      <c r="U111" s="89">
        <f t="shared" si="109"/>
        <v>48</v>
      </c>
      <c r="V111" s="89">
        <f t="shared" si="109"/>
        <v>44</v>
      </c>
      <c r="W111" s="89">
        <f t="shared" si="109"/>
        <v>45</v>
      </c>
      <c r="X111" s="89">
        <f t="shared" si="109"/>
        <v>41</v>
      </c>
      <c r="Y111" s="89">
        <f t="shared" si="109"/>
        <v>42</v>
      </c>
      <c r="Z111" s="89">
        <f t="shared" si="109"/>
        <v>10</v>
      </c>
      <c r="AA111" s="89">
        <f t="shared" si="109"/>
        <v>11</v>
      </c>
      <c r="AB111" s="89">
        <f t="shared" si="109"/>
        <v>12</v>
      </c>
      <c r="AC111" s="89">
        <f t="shared" si="109"/>
        <v>13</v>
      </c>
      <c r="AD111" s="89">
        <f t="shared" si="109"/>
        <v>15</v>
      </c>
      <c r="AE111" s="89">
        <f t="shared" si="109"/>
        <v>16</v>
      </c>
      <c r="AF111" s="89">
        <f t="shared" si="109"/>
        <v>17</v>
      </c>
      <c r="AG111" s="89">
        <f t="shared" si="109"/>
        <v>9</v>
      </c>
      <c r="AH111" s="89">
        <f t="shared" si="109"/>
        <v>38</v>
      </c>
      <c r="AI111" s="89">
        <f t="shared" si="109"/>
        <v>35</v>
      </c>
      <c r="AJ111" s="89">
        <f t="shared" si="109"/>
        <v>39</v>
      </c>
      <c r="AK111" s="89">
        <f t="shared" si="109"/>
        <v>40</v>
      </c>
      <c r="AL111" s="89">
        <f t="shared" si="109"/>
        <v>36</v>
      </c>
      <c r="AM111" s="89">
        <f t="shared" si="109"/>
        <v>37</v>
      </c>
      <c r="AN111" s="89">
        <f t="shared" si="109"/>
        <v>33</v>
      </c>
      <c r="AO111" s="89">
        <f t="shared" si="109"/>
        <v>34</v>
      </c>
      <c r="AP111" s="89">
        <f t="shared" si="109"/>
        <v>18</v>
      </c>
      <c r="AQ111" s="89">
        <f t="shared" si="109"/>
        <v>19</v>
      </c>
      <c r="AR111" s="89">
        <f t="shared" si="109"/>
        <v>20</v>
      </c>
      <c r="AS111" s="89">
        <f t="shared" si="109"/>
        <v>21</v>
      </c>
      <c r="AT111" s="89">
        <f t="shared" si="109"/>
        <v>22</v>
      </c>
      <c r="AU111" s="89">
        <f t="shared" si="109"/>
        <v>23</v>
      </c>
      <c r="AV111" s="89">
        <f t="shared" si="109"/>
        <v>24</v>
      </c>
      <c r="AW111" s="89">
        <f t="shared" si="109"/>
        <v>14</v>
      </c>
      <c r="AX111" s="89">
        <f t="shared" si="109"/>
        <v>30</v>
      </c>
      <c r="AY111" s="89">
        <f t="shared" si="109"/>
        <v>27</v>
      </c>
      <c r="AZ111" s="89">
        <f t="shared" si="109"/>
        <v>31</v>
      </c>
      <c r="BA111" s="89">
        <f t="shared" si="109"/>
        <v>32</v>
      </c>
      <c r="BB111" s="89">
        <f t="shared" si="109"/>
        <v>28</v>
      </c>
      <c r="BC111" s="89">
        <f t="shared" si="109"/>
        <v>29</v>
      </c>
      <c r="BD111" s="89">
        <f t="shared" si="109"/>
        <v>25</v>
      </c>
      <c r="BE111" s="89">
        <f t="shared" si="109"/>
        <v>26</v>
      </c>
    </row>
    <row r="112" spans="3:59" outlineLevel="1" x14ac:dyDescent="0.25">
      <c r="D112" s="29"/>
      <c r="E112" s="29"/>
      <c r="H112" s="210"/>
      <c r="I112" s="210"/>
    </row>
    <row r="113" spans="3:59" outlineLevel="1" x14ac:dyDescent="0.25">
      <c r="D113" s="32" t="s">
        <v>827</v>
      </c>
      <c r="E113"/>
      <c r="H113" s="210"/>
      <c r="I113" s="210"/>
    </row>
    <row r="114" spans="3:59" outlineLevel="1" x14ac:dyDescent="0.25">
      <c r="D114" s="32" t="s">
        <v>828</v>
      </c>
      <c r="E114"/>
      <c r="H114" s="210"/>
      <c r="I114" s="210"/>
    </row>
    <row r="115" spans="3:59" outlineLevel="1" x14ac:dyDescent="0.25">
      <c r="D115" s="32"/>
      <c r="E115"/>
      <c r="H115" s="210"/>
      <c r="I115" s="210"/>
    </row>
    <row r="116" spans="3:59" outlineLevel="1" x14ac:dyDescent="0.25">
      <c r="D116"/>
      <c r="E116" s="211" t="s">
        <v>829</v>
      </c>
      <c r="F116" s="211"/>
      <c r="G116" s="211"/>
      <c r="H116" s="211" t="s">
        <v>830</v>
      </c>
      <c r="I116" s="211"/>
      <c r="J116" s="214">
        <v>1</v>
      </c>
      <c r="K116" s="214">
        <f>J116 + 1</f>
        <v>2</v>
      </c>
      <c r="L116" s="214">
        <f t="shared" ref="L116:BE116" si="110">K116 + 1</f>
        <v>3</v>
      </c>
      <c r="M116" s="214">
        <f t="shared" si="110"/>
        <v>4</v>
      </c>
      <c r="N116" s="214">
        <f t="shared" si="110"/>
        <v>5</v>
      </c>
      <c r="O116" s="214">
        <f t="shared" si="110"/>
        <v>6</v>
      </c>
      <c r="P116" s="214">
        <f t="shared" si="110"/>
        <v>7</v>
      </c>
      <c r="Q116" s="214">
        <f t="shared" si="110"/>
        <v>8</v>
      </c>
      <c r="R116" s="214">
        <f t="shared" si="110"/>
        <v>9</v>
      </c>
      <c r="S116" s="214">
        <f t="shared" si="110"/>
        <v>10</v>
      </c>
      <c r="T116" s="214">
        <f t="shared" si="110"/>
        <v>11</v>
      </c>
      <c r="U116" s="214">
        <f t="shared" si="110"/>
        <v>12</v>
      </c>
      <c r="V116" s="214">
        <f t="shared" si="110"/>
        <v>13</v>
      </c>
      <c r="W116" s="214">
        <f t="shared" si="110"/>
        <v>14</v>
      </c>
      <c r="X116" s="214">
        <f t="shared" si="110"/>
        <v>15</v>
      </c>
      <c r="Y116" s="214">
        <f t="shared" si="110"/>
        <v>16</v>
      </c>
      <c r="Z116" s="214">
        <f t="shared" si="110"/>
        <v>17</v>
      </c>
      <c r="AA116" s="214">
        <f t="shared" si="110"/>
        <v>18</v>
      </c>
      <c r="AB116" s="214">
        <f t="shared" si="110"/>
        <v>19</v>
      </c>
      <c r="AC116" s="214">
        <f t="shared" si="110"/>
        <v>20</v>
      </c>
      <c r="AD116" s="214">
        <f t="shared" si="110"/>
        <v>21</v>
      </c>
      <c r="AE116" s="214">
        <f t="shared" si="110"/>
        <v>22</v>
      </c>
      <c r="AF116" s="214">
        <f t="shared" si="110"/>
        <v>23</v>
      </c>
      <c r="AG116" s="214">
        <f t="shared" si="110"/>
        <v>24</v>
      </c>
      <c r="AH116" s="214">
        <f t="shared" si="110"/>
        <v>25</v>
      </c>
      <c r="AI116" s="214">
        <f t="shared" si="110"/>
        <v>26</v>
      </c>
      <c r="AJ116" s="214">
        <f t="shared" si="110"/>
        <v>27</v>
      </c>
      <c r="AK116" s="214">
        <f t="shared" si="110"/>
        <v>28</v>
      </c>
      <c r="AL116" s="214">
        <f t="shared" si="110"/>
        <v>29</v>
      </c>
      <c r="AM116" s="214">
        <f t="shared" si="110"/>
        <v>30</v>
      </c>
      <c r="AN116" s="214">
        <f t="shared" si="110"/>
        <v>31</v>
      </c>
      <c r="AO116" s="214">
        <f t="shared" si="110"/>
        <v>32</v>
      </c>
      <c r="AP116" s="214">
        <f t="shared" si="110"/>
        <v>33</v>
      </c>
      <c r="AQ116" s="214">
        <f t="shared" si="110"/>
        <v>34</v>
      </c>
      <c r="AR116" s="214">
        <f t="shared" si="110"/>
        <v>35</v>
      </c>
      <c r="AS116" s="214">
        <f t="shared" si="110"/>
        <v>36</v>
      </c>
      <c r="AT116" s="214">
        <f t="shared" si="110"/>
        <v>37</v>
      </c>
      <c r="AU116" s="214">
        <f t="shared" si="110"/>
        <v>38</v>
      </c>
      <c r="AV116" s="214">
        <f t="shared" si="110"/>
        <v>39</v>
      </c>
      <c r="AW116" s="214">
        <f t="shared" si="110"/>
        <v>40</v>
      </c>
      <c r="AX116" s="214">
        <f t="shared" si="110"/>
        <v>41</v>
      </c>
      <c r="AY116" s="214">
        <f t="shared" si="110"/>
        <v>42</v>
      </c>
      <c r="AZ116" s="214">
        <f t="shared" si="110"/>
        <v>43</v>
      </c>
      <c r="BA116" s="214">
        <f t="shared" si="110"/>
        <v>44</v>
      </c>
      <c r="BB116" s="214">
        <f t="shared" si="110"/>
        <v>45</v>
      </c>
      <c r="BC116" s="214">
        <f t="shared" si="110"/>
        <v>46</v>
      </c>
      <c r="BD116" s="214">
        <f t="shared" si="110"/>
        <v>47</v>
      </c>
      <c r="BE116" s="214">
        <f t="shared" si="110"/>
        <v>48</v>
      </c>
    </row>
    <row r="117" spans="3:59" outlineLevel="1" x14ac:dyDescent="0.25">
      <c r="C117" s="88"/>
      <c r="E117" t="s">
        <v>831</v>
      </c>
      <c r="G117" t="s">
        <v>269</v>
      </c>
      <c r="H117" s="287"/>
      <c r="I117" s="269"/>
      <c r="J117" s="287">
        <f>INDEX($J$102:$BE$102, 1, MATCH(J116, $J$111:$BE$111, 0))</f>
        <v>-20.888686876550693</v>
      </c>
      <c r="K117" s="287">
        <f t="shared" ref="K117:BE117" si="111">INDEX($J$102:$BE$102, 1, MATCH(K116, $J$111:$BE$111, 0))</f>
        <v>-7.8691541236145142</v>
      </c>
      <c r="L117" s="287">
        <f t="shared" si="111"/>
        <v>-7.8691541236145142</v>
      </c>
      <c r="M117" s="287">
        <f t="shared" si="111"/>
        <v>-6.8165257676017825</v>
      </c>
      <c r="N117" s="287">
        <f t="shared" si="111"/>
        <v>-6.8165257676017825</v>
      </c>
      <c r="O117" s="287">
        <f t="shared" si="111"/>
        <v>-4.9279316341979271</v>
      </c>
      <c r="P117" s="287">
        <f t="shared" si="111"/>
        <v>-3.3100709696873514</v>
      </c>
      <c r="Q117" s="287">
        <f t="shared" si="111"/>
        <v>-2.0294324650108937</v>
      </c>
      <c r="R117" s="287">
        <f t="shared" si="111"/>
        <v>-1.6138430534096508</v>
      </c>
      <c r="S117" s="287">
        <f t="shared" si="111"/>
        <v>-0.99456313995064261</v>
      </c>
      <c r="T117" s="287">
        <f t="shared" si="111"/>
        <v>-0.99456313995064261</v>
      </c>
      <c r="U117" s="287">
        <f t="shared" si="111"/>
        <v>-0.86152401700152526</v>
      </c>
      <c r="V117" s="287">
        <f t="shared" si="111"/>
        <v>-0.86152401700152526</v>
      </c>
      <c r="W117" s="287">
        <f t="shared" si="111"/>
        <v>-0.84689138056547619</v>
      </c>
      <c r="X117" s="287">
        <f t="shared" si="111"/>
        <v>-0.59969852693012982</v>
      </c>
      <c r="Y117" s="287">
        <f t="shared" si="111"/>
        <v>-0.3685087304672886</v>
      </c>
      <c r="Z117" s="287">
        <f t="shared" si="111"/>
        <v>-0.19154306505018537</v>
      </c>
      <c r="AA117" s="287">
        <f t="shared" si="111"/>
        <v>-6.1367116408771211E-2</v>
      </c>
      <c r="AB117" s="287">
        <f t="shared" si="111"/>
        <v>-6.1367116408771211E-2</v>
      </c>
      <c r="AC117" s="287">
        <f t="shared" si="111"/>
        <v>-5.3158258653048969E-2</v>
      </c>
      <c r="AD117" s="287">
        <f t="shared" si="111"/>
        <v>-5.3158258653048969E-2</v>
      </c>
      <c r="AE117" s="287">
        <f t="shared" si="111"/>
        <v>-3.6091446122796002E-2</v>
      </c>
      <c r="AF117" s="287">
        <f t="shared" si="111"/>
        <v>-2.0773794392874644E-2</v>
      </c>
      <c r="AG117" s="287">
        <f t="shared" si="111"/>
        <v>-9.2689579954535039E-3</v>
      </c>
      <c r="AH117" s="287">
        <f t="shared" si="111"/>
        <v>1.6392243650649556E-2</v>
      </c>
      <c r="AI117" s="287">
        <f t="shared" si="111"/>
        <v>1.6392243650649556E-2</v>
      </c>
      <c r="AJ117" s="287">
        <f t="shared" si="111"/>
        <v>3.1304146471503695E-2</v>
      </c>
      <c r="AK117" s="287">
        <f t="shared" si="111"/>
        <v>3.1304146471503695E-2</v>
      </c>
      <c r="AL117" s="287">
        <f t="shared" si="111"/>
        <v>3.1304146471503695E-2</v>
      </c>
      <c r="AM117" s="287">
        <f t="shared" si="111"/>
        <v>3.7059171059480152E-2</v>
      </c>
      <c r="AN117" s="287">
        <f t="shared" si="111"/>
        <v>3.7059171059480152E-2</v>
      </c>
      <c r="AO117" s="287">
        <f t="shared" si="111"/>
        <v>3.7059171059480152E-2</v>
      </c>
      <c r="AP117" s="287">
        <f t="shared" si="111"/>
        <v>0.29638866966229255</v>
      </c>
      <c r="AQ117" s="287">
        <f t="shared" si="111"/>
        <v>0.29638866966229255</v>
      </c>
      <c r="AR117" s="287">
        <f t="shared" si="111"/>
        <v>0.51495336021881366</v>
      </c>
      <c r="AS117" s="287">
        <f t="shared" si="111"/>
        <v>0.51495336021881366</v>
      </c>
      <c r="AT117" s="287">
        <f t="shared" si="111"/>
        <v>0.51495336021881366</v>
      </c>
      <c r="AU117" s="287">
        <f t="shared" si="111"/>
        <v>0.6006097025542575</v>
      </c>
      <c r="AV117" s="287">
        <f t="shared" si="111"/>
        <v>0.6006097025542575</v>
      </c>
      <c r="AW117" s="287">
        <f t="shared" si="111"/>
        <v>0.6006097025542575</v>
      </c>
      <c r="AX117" s="287">
        <f t="shared" si="111"/>
        <v>2.7260556362386072</v>
      </c>
      <c r="AY117" s="287">
        <f t="shared" si="111"/>
        <v>2.7260556362386072</v>
      </c>
      <c r="AZ117" s="287">
        <f t="shared" si="111"/>
        <v>4.1687283895347562</v>
      </c>
      <c r="BA117" s="287">
        <f t="shared" si="111"/>
        <v>4.1687283895347562</v>
      </c>
      <c r="BB117" s="287">
        <f t="shared" si="111"/>
        <v>4.1687283895347562</v>
      </c>
      <c r="BC117" s="287">
        <f t="shared" si="111"/>
        <v>4.752126966792952</v>
      </c>
      <c r="BD117" s="287">
        <f t="shared" si="111"/>
        <v>4.752126966792952</v>
      </c>
      <c r="BE117" s="287">
        <f t="shared" si="111"/>
        <v>4.752126966792952</v>
      </c>
      <c r="BF117" s="269"/>
      <c r="BG117" s="269"/>
    </row>
    <row r="118" spans="3:59" outlineLevel="1" x14ac:dyDescent="0.25">
      <c r="C118" s="88"/>
      <c r="E118" t="s">
        <v>832</v>
      </c>
      <c r="G118" t="s">
        <v>207</v>
      </c>
      <c r="H118" s="63"/>
      <c r="J118" s="98">
        <f t="shared" ref="J118:BE118" si="112">I118 + INDEX($J$103:$BE$103, 1, MATCH(J116, $J$111:$BE$111, 0))</f>
        <v>9808.580008541272</v>
      </c>
      <c r="K118" s="98">
        <f t="shared" si="112"/>
        <v>1005412.9557998789</v>
      </c>
      <c r="L118" s="98">
        <f t="shared" si="112"/>
        <v>1006257.7188363399</v>
      </c>
      <c r="M118" s="98">
        <f t="shared" si="112"/>
        <v>1334819.8227772838</v>
      </c>
      <c r="N118" s="98">
        <f t="shared" si="112"/>
        <v>1334849.6841719679</v>
      </c>
      <c r="O118" s="98">
        <f t="shared" si="112"/>
        <v>1682030.6061551874</v>
      </c>
      <c r="P118" s="98">
        <f t="shared" si="112"/>
        <v>1710885.1253731849</v>
      </c>
      <c r="Q118" s="98">
        <f t="shared" si="112"/>
        <v>2403633.5142514575</v>
      </c>
      <c r="R118" s="98">
        <f t="shared" si="112"/>
        <v>2452732.2111420347</v>
      </c>
      <c r="S118" s="98">
        <f t="shared" si="112"/>
        <v>5401228.5542930383</v>
      </c>
      <c r="T118" s="98">
        <f t="shared" si="112"/>
        <v>5406668.8901235182</v>
      </c>
      <c r="U118" s="98">
        <f t="shared" si="112"/>
        <v>6760380.0660121692</v>
      </c>
      <c r="V118" s="98">
        <f t="shared" si="112"/>
        <v>6760844.1493008612</v>
      </c>
      <c r="W118" s="98">
        <f t="shared" si="112"/>
        <v>6923473.9682193911</v>
      </c>
      <c r="X118" s="98">
        <f t="shared" si="112"/>
        <v>8385407.054182658</v>
      </c>
      <c r="Y118" s="98">
        <f t="shared" si="112"/>
        <v>8492548.4002506621</v>
      </c>
      <c r="Z118" s="98">
        <f t="shared" si="112"/>
        <v>11136970.522931719</v>
      </c>
      <c r="AA118" s="98">
        <f t="shared" si="112"/>
        <v>16011098.562238928</v>
      </c>
      <c r="AB118" s="98">
        <f t="shared" si="112"/>
        <v>16020998.27878781</v>
      </c>
      <c r="AC118" s="98">
        <f t="shared" si="112"/>
        <v>17506108.200364143</v>
      </c>
      <c r="AD118" s="98">
        <f t="shared" si="112"/>
        <v>17507901.452564269</v>
      </c>
      <c r="AE118" s="98">
        <f t="shared" si="112"/>
        <v>19108482.70828291</v>
      </c>
      <c r="AF118" s="98">
        <f t="shared" si="112"/>
        <v>19232941.360664733</v>
      </c>
      <c r="AG118" s="98">
        <f t="shared" si="112"/>
        <v>23006311.131117389</v>
      </c>
      <c r="AH118" s="98">
        <f t="shared" si="112"/>
        <v>23006311.131117389</v>
      </c>
      <c r="AI118" s="98">
        <f t="shared" si="112"/>
        <v>23006311.131117389</v>
      </c>
      <c r="AJ118" s="98">
        <f t="shared" si="112"/>
        <v>23006311.131117389</v>
      </c>
      <c r="AK118" s="98">
        <f t="shared" si="112"/>
        <v>23006311.131117389</v>
      </c>
      <c r="AL118" s="98">
        <f t="shared" si="112"/>
        <v>23006311.131117389</v>
      </c>
      <c r="AM118" s="98">
        <f t="shared" si="112"/>
        <v>23006311.131117389</v>
      </c>
      <c r="AN118" s="98">
        <f t="shared" si="112"/>
        <v>23006311.131117389</v>
      </c>
      <c r="AO118" s="98">
        <f t="shared" si="112"/>
        <v>23006311.131117389</v>
      </c>
      <c r="AP118" s="98">
        <f t="shared" si="112"/>
        <v>23006311.131117389</v>
      </c>
      <c r="AQ118" s="98">
        <f t="shared" si="112"/>
        <v>23006311.131117389</v>
      </c>
      <c r="AR118" s="98">
        <f t="shared" si="112"/>
        <v>23006311.131117389</v>
      </c>
      <c r="AS118" s="98">
        <f t="shared" si="112"/>
        <v>23006311.131117389</v>
      </c>
      <c r="AT118" s="98">
        <f t="shared" si="112"/>
        <v>23006311.131117389</v>
      </c>
      <c r="AU118" s="98">
        <f t="shared" si="112"/>
        <v>23006311.131117389</v>
      </c>
      <c r="AV118" s="98">
        <f t="shared" si="112"/>
        <v>23006311.131117389</v>
      </c>
      <c r="AW118" s="98">
        <f t="shared" si="112"/>
        <v>23006311.131117389</v>
      </c>
      <c r="AX118" s="98">
        <f t="shared" si="112"/>
        <v>23006311.131117389</v>
      </c>
      <c r="AY118" s="98">
        <f t="shared" si="112"/>
        <v>23006311.131117389</v>
      </c>
      <c r="AZ118" s="98">
        <f t="shared" si="112"/>
        <v>23006311.131117389</v>
      </c>
      <c r="BA118" s="98">
        <f t="shared" si="112"/>
        <v>23006311.131117389</v>
      </c>
      <c r="BB118" s="98">
        <f t="shared" si="112"/>
        <v>23006311.131117389</v>
      </c>
      <c r="BC118" s="98">
        <f t="shared" si="112"/>
        <v>23006311.131117389</v>
      </c>
      <c r="BD118" s="98">
        <f t="shared" si="112"/>
        <v>23006311.131117389</v>
      </c>
      <c r="BE118" s="98">
        <f t="shared" si="112"/>
        <v>23006311.131117389</v>
      </c>
    </row>
    <row r="119" spans="3:59" outlineLevel="1" x14ac:dyDescent="0.25">
      <c r="C119" s="88"/>
      <c r="E119" t="s">
        <v>833</v>
      </c>
      <c r="G119" t="s">
        <v>277</v>
      </c>
      <c r="H119" s="63"/>
      <c r="J119" s="98">
        <f>SUM($J$54:$Y$57,$R$51:$Y$53)</f>
        <v>102305637.42518714</v>
      </c>
      <c r="K119" s="98">
        <f t="shared" ref="K119:BE119" si="113">SUM($J$54:$Y$57,$R$51:$Y$53)</f>
        <v>102305637.42518714</v>
      </c>
      <c r="L119" s="98">
        <f>SUM($J$54:$Y$57,$R$51:$Y$53)</f>
        <v>102305637.42518714</v>
      </c>
      <c r="M119" s="98">
        <f t="shared" si="113"/>
        <v>102305637.42518714</v>
      </c>
      <c r="N119" s="98">
        <f t="shared" si="113"/>
        <v>102305637.42518714</v>
      </c>
      <c r="O119" s="98">
        <f t="shared" si="113"/>
        <v>102305637.42518714</v>
      </c>
      <c r="P119" s="98">
        <f t="shared" si="113"/>
        <v>102305637.42518714</v>
      </c>
      <c r="Q119" s="98">
        <f t="shared" si="113"/>
        <v>102305637.42518714</v>
      </c>
      <c r="R119" s="98">
        <f t="shared" si="113"/>
        <v>102305637.42518714</v>
      </c>
      <c r="S119" s="98">
        <f t="shared" si="113"/>
        <v>102305637.42518714</v>
      </c>
      <c r="T119" s="98">
        <f t="shared" si="113"/>
        <v>102305637.42518714</v>
      </c>
      <c r="U119" s="98">
        <f t="shared" si="113"/>
        <v>102305637.42518714</v>
      </c>
      <c r="V119" s="98">
        <f t="shared" si="113"/>
        <v>102305637.42518714</v>
      </c>
      <c r="W119" s="98">
        <f t="shared" si="113"/>
        <v>102305637.42518714</v>
      </c>
      <c r="X119" s="98">
        <f t="shared" si="113"/>
        <v>102305637.42518714</v>
      </c>
      <c r="Y119" s="98">
        <f t="shared" si="113"/>
        <v>102305637.42518714</v>
      </c>
      <c r="Z119" s="98">
        <f t="shared" si="113"/>
        <v>102305637.42518714</v>
      </c>
      <c r="AA119" s="98">
        <f t="shared" si="113"/>
        <v>102305637.42518714</v>
      </c>
      <c r="AB119" s="98">
        <f t="shared" si="113"/>
        <v>102305637.42518714</v>
      </c>
      <c r="AC119" s="98">
        <f t="shared" si="113"/>
        <v>102305637.42518714</v>
      </c>
      <c r="AD119" s="98">
        <f t="shared" si="113"/>
        <v>102305637.42518714</v>
      </c>
      <c r="AE119" s="98">
        <f t="shared" si="113"/>
        <v>102305637.42518714</v>
      </c>
      <c r="AF119" s="98">
        <f t="shared" si="113"/>
        <v>102305637.42518714</v>
      </c>
      <c r="AG119" s="98">
        <f t="shared" si="113"/>
        <v>102305637.42518714</v>
      </c>
      <c r="AH119" s="98">
        <f t="shared" si="113"/>
        <v>102305637.42518714</v>
      </c>
      <c r="AI119" s="98">
        <f t="shared" si="113"/>
        <v>102305637.42518714</v>
      </c>
      <c r="AJ119" s="98">
        <f t="shared" si="113"/>
        <v>102305637.42518714</v>
      </c>
      <c r="AK119" s="98">
        <f t="shared" si="113"/>
        <v>102305637.42518714</v>
      </c>
      <c r="AL119" s="98">
        <f t="shared" si="113"/>
        <v>102305637.42518714</v>
      </c>
      <c r="AM119" s="98">
        <f t="shared" si="113"/>
        <v>102305637.42518714</v>
      </c>
      <c r="AN119" s="98">
        <f t="shared" si="113"/>
        <v>102305637.42518714</v>
      </c>
      <c r="AO119" s="98">
        <f t="shared" si="113"/>
        <v>102305637.42518714</v>
      </c>
      <c r="AP119" s="98">
        <f t="shared" si="113"/>
        <v>102305637.42518714</v>
      </c>
      <c r="AQ119" s="98">
        <f t="shared" si="113"/>
        <v>102305637.42518714</v>
      </c>
      <c r="AR119" s="98">
        <f t="shared" si="113"/>
        <v>102305637.42518714</v>
      </c>
      <c r="AS119" s="98">
        <f t="shared" si="113"/>
        <v>102305637.42518714</v>
      </c>
      <c r="AT119" s="98">
        <f t="shared" si="113"/>
        <v>102305637.42518714</v>
      </c>
      <c r="AU119" s="98">
        <f t="shared" si="113"/>
        <v>102305637.42518714</v>
      </c>
      <c r="AV119" s="98">
        <f t="shared" si="113"/>
        <v>102305637.42518714</v>
      </c>
      <c r="AW119" s="98">
        <f t="shared" si="113"/>
        <v>102305637.42518714</v>
      </c>
      <c r="AX119" s="98">
        <f t="shared" si="113"/>
        <v>102305637.42518714</v>
      </c>
      <c r="AY119" s="98">
        <f t="shared" si="113"/>
        <v>102305637.42518714</v>
      </c>
      <c r="AZ119" s="98">
        <f t="shared" si="113"/>
        <v>102305637.42518714</v>
      </c>
      <c r="BA119" s="98">
        <f t="shared" si="113"/>
        <v>102305637.42518714</v>
      </c>
      <c r="BB119" s="98">
        <f t="shared" si="113"/>
        <v>102305637.42518714</v>
      </c>
      <c r="BC119" s="98">
        <f t="shared" si="113"/>
        <v>102305637.42518714</v>
      </c>
      <c r="BD119" s="98">
        <f t="shared" si="113"/>
        <v>102305637.42518714</v>
      </c>
      <c r="BE119" s="98">
        <f t="shared" si="113"/>
        <v>102305637.42518714</v>
      </c>
    </row>
    <row r="120" spans="3:59" outlineLevel="1" x14ac:dyDescent="0.25">
      <c r="C120" s="88"/>
      <c r="E120" t="s">
        <v>834</v>
      </c>
      <c r="G120" t="s">
        <v>277</v>
      </c>
      <c r="H120" s="63"/>
      <c r="J120" s="79"/>
      <c r="K120" s="98">
        <f t="shared" ref="K120:BE120" si="114">J120 + J118 * (K117 - J117) * ten</f>
        <v>1277031.2868099813</v>
      </c>
      <c r="L120" s="98">
        <f t="shared" si="114"/>
        <v>1277031.2868099813</v>
      </c>
      <c r="M120" s="98">
        <f t="shared" si="114"/>
        <v>11869185.36984816</v>
      </c>
      <c r="N120" s="98">
        <f t="shared" si="114"/>
        <v>11869185.36984816</v>
      </c>
      <c r="O120" s="98">
        <f t="shared" si="114"/>
        <v>37079078.194879837</v>
      </c>
      <c r="P120" s="98">
        <f t="shared" si="114"/>
        <v>64291989.736893415</v>
      </c>
      <c r="Q120" s="98">
        <f t="shared" si="114"/>
        <v>86202243.423204511</v>
      </c>
      <c r="R120" s="98">
        <f t="shared" si="114"/>
        <v>96191489.802132428</v>
      </c>
      <c r="S120" s="98">
        <f t="shared" si="114"/>
        <v>111380767.71667404</v>
      </c>
      <c r="T120" s="98">
        <f t="shared" si="114"/>
        <v>111380767.71667404</v>
      </c>
      <c r="U120" s="98">
        <f t="shared" si="114"/>
        <v>118573752.58885714</v>
      </c>
      <c r="V120" s="98">
        <f t="shared" si="114"/>
        <v>118573752.58885714</v>
      </c>
      <c r="W120" s="98">
        <f t="shared" si="114"/>
        <v>119563042.33323224</v>
      </c>
      <c r="X120" s="98">
        <f t="shared" si="114"/>
        <v>136677375.2059741</v>
      </c>
      <c r="Y120" s="98">
        <f t="shared" si="114"/>
        <v>156063580.7071197</v>
      </c>
      <c r="Z120" s="98">
        <f t="shared" si="114"/>
        <v>171092475.49449283</v>
      </c>
      <c r="AA120" s="98">
        <f t="shared" si="114"/>
        <v>185590132.52263385</v>
      </c>
      <c r="AB120" s="98">
        <f t="shared" si="114"/>
        <v>185590132.52263385</v>
      </c>
      <c r="AC120" s="98">
        <f t="shared" si="114"/>
        <v>186905273.48238626</v>
      </c>
      <c r="AD120" s="98">
        <f t="shared" si="114"/>
        <v>186905273.48238626</v>
      </c>
      <c r="AE120" s="98">
        <f t="shared" si="114"/>
        <v>189893314.20127684</v>
      </c>
      <c r="AF120" s="98">
        <f t="shared" si="114"/>
        <v>192820285.03340387</v>
      </c>
      <c r="AG120" s="98">
        <f t="shared" si="114"/>
        <v>195033003.4713603</v>
      </c>
      <c r="AH120" s="98">
        <f t="shared" si="114"/>
        <v>200936699.36204618</v>
      </c>
      <c r="AI120" s="98">
        <f t="shared" si="114"/>
        <v>200936699.36204618</v>
      </c>
      <c r="AJ120" s="98">
        <f t="shared" si="114"/>
        <v>204367378.12058175</v>
      </c>
      <c r="AK120" s="98">
        <f t="shared" si="114"/>
        <v>204367378.12058175</v>
      </c>
      <c r="AL120" s="98">
        <f t="shared" si="114"/>
        <v>204367378.12058175</v>
      </c>
      <c r="AM120" s="98">
        <f t="shared" si="114"/>
        <v>205691396.98296392</v>
      </c>
      <c r="AN120" s="98">
        <f t="shared" si="114"/>
        <v>205691396.98296392</v>
      </c>
      <c r="AO120" s="98">
        <f t="shared" si="114"/>
        <v>205691396.98296392</v>
      </c>
      <c r="AP120" s="98">
        <f t="shared" si="114"/>
        <v>265353548.28629369</v>
      </c>
      <c r="AQ120" s="98">
        <f t="shared" si="114"/>
        <v>265353548.28629369</v>
      </c>
      <c r="AR120" s="98">
        <f t="shared" si="114"/>
        <v>315637221.01849091</v>
      </c>
      <c r="AS120" s="98">
        <f t="shared" si="114"/>
        <v>315637221.01849091</v>
      </c>
      <c r="AT120" s="98">
        <f t="shared" si="114"/>
        <v>315637221.01849091</v>
      </c>
      <c r="AU120" s="98">
        <f t="shared" si="114"/>
        <v>335343585.63971812</v>
      </c>
      <c r="AV120" s="98">
        <f t="shared" si="114"/>
        <v>335343585.63971812</v>
      </c>
      <c r="AW120" s="98">
        <f t="shared" si="114"/>
        <v>335343585.63971812</v>
      </c>
      <c r="AX120" s="98">
        <f t="shared" si="114"/>
        <v>824330290.06682265</v>
      </c>
      <c r="AY120" s="98">
        <f t="shared" si="114"/>
        <v>824330290.06682265</v>
      </c>
      <c r="AZ120" s="98">
        <f t="shared" si="114"/>
        <v>1156236072.2939923</v>
      </c>
      <c r="BA120" s="98">
        <f t="shared" si="114"/>
        <v>1156236072.2939923</v>
      </c>
      <c r="BB120" s="98">
        <f t="shared" si="114"/>
        <v>1156236072.2939923</v>
      </c>
      <c r="BC120" s="98">
        <f t="shared" si="114"/>
        <v>1290454564.112525</v>
      </c>
      <c r="BD120" s="98">
        <f t="shared" si="114"/>
        <v>1290454564.112525</v>
      </c>
      <c r="BE120" s="98">
        <f t="shared" si="114"/>
        <v>1290454564.112525</v>
      </c>
    </row>
    <row r="121" spans="3:59" outlineLevel="1" x14ac:dyDescent="0.25">
      <c r="C121" s="88"/>
      <c r="E121" t="s">
        <v>835</v>
      </c>
      <c r="G121" t="s">
        <v>277</v>
      </c>
      <c r="H121" s="63"/>
      <c r="J121" s="98">
        <f>J119 + J120</f>
        <v>102305637.42518714</v>
      </c>
      <c r="K121" s="98">
        <f t="shared" ref="K121:BE121" si="115">K119 + K120</f>
        <v>103582668.71199712</v>
      </c>
      <c r="L121" s="98">
        <f t="shared" si="115"/>
        <v>103582668.71199712</v>
      </c>
      <c r="M121" s="98">
        <f t="shared" si="115"/>
        <v>114174822.7950353</v>
      </c>
      <c r="N121" s="98">
        <f t="shared" si="115"/>
        <v>114174822.7950353</v>
      </c>
      <c r="O121" s="98">
        <f t="shared" si="115"/>
        <v>139384715.62006697</v>
      </c>
      <c r="P121" s="98">
        <f t="shared" si="115"/>
        <v>166597627.16208056</v>
      </c>
      <c r="Q121" s="98">
        <f t="shared" si="115"/>
        <v>188507880.84839165</v>
      </c>
      <c r="R121" s="98">
        <f t="shared" si="115"/>
        <v>198497127.22731957</v>
      </c>
      <c r="S121" s="98">
        <f t="shared" si="115"/>
        <v>213686405.1418612</v>
      </c>
      <c r="T121" s="98">
        <f t="shared" si="115"/>
        <v>213686405.1418612</v>
      </c>
      <c r="U121" s="98">
        <f t="shared" si="115"/>
        <v>220879390.01404428</v>
      </c>
      <c r="V121" s="98">
        <f t="shared" si="115"/>
        <v>220879390.01404428</v>
      </c>
      <c r="W121" s="98">
        <f t="shared" si="115"/>
        <v>221868679.75841939</v>
      </c>
      <c r="X121" s="98">
        <f t="shared" si="115"/>
        <v>238983012.63116124</v>
      </c>
      <c r="Y121" s="98">
        <f t="shared" si="115"/>
        <v>258369218.13230684</v>
      </c>
      <c r="Z121" s="98">
        <f t="shared" si="115"/>
        <v>273398112.91968</v>
      </c>
      <c r="AA121" s="98">
        <f t="shared" si="115"/>
        <v>287895769.94782102</v>
      </c>
      <c r="AB121" s="98">
        <f t="shared" si="115"/>
        <v>287895769.94782102</v>
      </c>
      <c r="AC121" s="98">
        <f t="shared" si="115"/>
        <v>289210910.9075734</v>
      </c>
      <c r="AD121" s="98">
        <f t="shared" si="115"/>
        <v>289210910.9075734</v>
      </c>
      <c r="AE121" s="98">
        <f t="shared" si="115"/>
        <v>292198951.62646401</v>
      </c>
      <c r="AF121" s="98">
        <f t="shared" si="115"/>
        <v>295125922.45859098</v>
      </c>
      <c r="AG121" s="98">
        <f t="shared" si="115"/>
        <v>297338640.89654744</v>
      </c>
      <c r="AH121" s="98">
        <f t="shared" si="115"/>
        <v>303242336.78723335</v>
      </c>
      <c r="AI121" s="98">
        <f t="shared" si="115"/>
        <v>303242336.78723335</v>
      </c>
      <c r="AJ121" s="98">
        <f t="shared" si="115"/>
        <v>306673015.54576886</v>
      </c>
      <c r="AK121" s="98">
        <f t="shared" si="115"/>
        <v>306673015.54576886</v>
      </c>
      <c r="AL121" s="98">
        <f t="shared" si="115"/>
        <v>306673015.54576886</v>
      </c>
      <c r="AM121" s="98">
        <f t="shared" si="115"/>
        <v>307997034.40815103</v>
      </c>
      <c r="AN121" s="98">
        <f t="shared" si="115"/>
        <v>307997034.40815103</v>
      </c>
      <c r="AO121" s="98">
        <f t="shared" si="115"/>
        <v>307997034.40815103</v>
      </c>
      <c r="AP121" s="98">
        <f t="shared" si="115"/>
        <v>367659185.71148086</v>
      </c>
      <c r="AQ121" s="98">
        <f t="shared" si="115"/>
        <v>367659185.71148086</v>
      </c>
      <c r="AR121" s="98">
        <f t="shared" si="115"/>
        <v>417942858.44367802</v>
      </c>
      <c r="AS121" s="98">
        <f t="shared" si="115"/>
        <v>417942858.44367802</v>
      </c>
      <c r="AT121" s="98">
        <f t="shared" si="115"/>
        <v>417942858.44367802</v>
      </c>
      <c r="AU121" s="98">
        <f t="shared" si="115"/>
        <v>437649223.06490529</v>
      </c>
      <c r="AV121" s="98">
        <f t="shared" si="115"/>
        <v>437649223.06490529</v>
      </c>
      <c r="AW121" s="98">
        <f t="shared" si="115"/>
        <v>437649223.06490529</v>
      </c>
      <c r="AX121" s="98">
        <f t="shared" si="115"/>
        <v>926635927.49200976</v>
      </c>
      <c r="AY121" s="98">
        <f t="shared" si="115"/>
        <v>926635927.49200976</v>
      </c>
      <c r="AZ121" s="98">
        <f t="shared" si="115"/>
        <v>1258541709.7191794</v>
      </c>
      <c r="BA121" s="98">
        <f t="shared" si="115"/>
        <v>1258541709.7191794</v>
      </c>
      <c r="BB121" s="98">
        <f t="shared" si="115"/>
        <v>1258541709.7191794</v>
      </c>
      <c r="BC121" s="98">
        <f t="shared" si="115"/>
        <v>1392760201.5377121</v>
      </c>
      <c r="BD121" s="98">
        <f t="shared" si="115"/>
        <v>1392760201.5377121</v>
      </c>
      <c r="BE121" s="98">
        <f t="shared" si="115"/>
        <v>1392760201.5377121</v>
      </c>
    </row>
    <row r="122" spans="3:59" outlineLevel="1" x14ac:dyDescent="0.25">
      <c r="C122" s="88"/>
      <c r="E122" t="s">
        <v>738</v>
      </c>
      <c r="G122" t="s">
        <v>277</v>
      </c>
      <c r="H122" s="63"/>
      <c r="J122" s="98">
        <f>$H$43</f>
        <v>500448425.49501961</v>
      </c>
      <c r="K122" s="98">
        <f t="shared" ref="K122:BE122" si="116">$H$43</f>
        <v>500448425.49501961</v>
      </c>
      <c r="L122" s="98">
        <f t="shared" si="116"/>
        <v>500448425.49501961</v>
      </c>
      <c r="M122" s="98">
        <f t="shared" si="116"/>
        <v>500448425.49501961</v>
      </c>
      <c r="N122" s="98">
        <f t="shared" si="116"/>
        <v>500448425.49501961</v>
      </c>
      <c r="O122" s="98">
        <f t="shared" si="116"/>
        <v>500448425.49501961</v>
      </c>
      <c r="P122" s="98">
        <f t="shared" si="116"/>
        <v>500448425.49501961</v>
      </c>
      <c r="Q122" s="98">
        <f t="shared" si="116"/>
        <v>500448425.49501961</v>
      </c>
      <c r="R122" s="98">
        <f t="shared" si="116"/>
        <v>500448425.49501961</v>
      </c>
      <c r="S122" s="98">
        <f t="shared" si="116"/>
        <v>500448425.49501961</v>
      </c>
      <c r="T122" s="98">
        <f t="shared" si="116"/>
        <v>500448425.49501961</v>
      </c>
      <c r="U122" s="98">
        <f t="shared" si="116"/>
        <v>500448425.49501961</v>
      </c>
      <c r="V122" s="98">
        <f t="shared" si="116"/>
        <v>500448425.49501961</v>
      </c>
      <c r="W122" s="98">
        <f t="shared" si="116"/>
        <v>500448425.49501961</v>
      </c>
      <c r="X122" s="98">
        <f t="shared" si="116"/>
        <v>500448425.49501961</v>
      </c>
      <c r="Y122" s="98">
        <f t="shared" si="116"/>
        <v>500448425.49501961</v>
      </c>
      <c r="Z122" s="98">
        <f t="shared" si="116"/>
        <v>500448425.49501961</v>
      </c>
      <c r="AA122" s="98">
        <f t="shared" si="116"/>
        <v>500448425.49501961</v>
      </c>
      <c r="AB122" s="98">
        <f t="shared" si="116"/>
        <v>500448425.49501961</v>
      </c>
      <c r="AC122" s="98">
        <f t="shared" si="116"/>
        <v>500448425.49501961</v>
      </c>
      <c r="AD122" s="98">
        <f t="shared" si="116"/>
        <v>500448425.49501961</v>
      </c>
      <c r="AE122" s="98">
        <f t="shared" si="116"/>
        <v>500448425.49501961</v>
      </c>
      <c r="AF122" s="98">
        <f t="shared" si="116"/>
        <v>500448425.49501961</v>
      </c>
      <c r="AG122" s="98">
        <f t="shared" si="116"/>
        <v>500448425.49501961</v>
      </c>
      <c r="AH122" s="98">
        <f t="shared" si="116"/>
        <v>500448425.49501961</v>
      </c>
      <c r="AI122" s="98">
        <f t="shared" si="116"/>
        <v>500448425.49501961</v>
      </c>
      <c r="AJ122" s="98">
        <f t="shared" si="116"/>
        <v>500448425.49501961</v>
      </c>
      <c r="AK122" s="98">
        <f t="shared" si="116"/>
        <v>500448425.49501961</v>
      </c>
      <c r="AL122" s="98">
        <f t="shared" si="116"/>
        <v>500448425.49501961</v>
      </c>
      <c r="AM122" s="98">
        <f t="shared" si="116"/>
        <v>500448425.49501961</v>
      </c>
      <c r="AN122" s="98">
        <f t="shared" si="116"/>
        <v>500448425.49501961</v>
      </c>
      <c r="AO122" s="98">
        <f t="shared" si="116"/>
        <v>500448425.49501961</v>
      </c>
      <c r="AP122" s="98">
        <f t="shared" si="116"/>
        <v>500448425.49501961</v>
      </c>
      <c r="AQ122" s="98">
        <f t="shared" si="116"/>
        <v>500448425.49501961</v>
      </c>
      <c r="AR122" s="98">
        <f t="shared" si="116"/>
        <v>500448425.49501961</v>
      </c>
      <c r="AS122" s="98">
        <f t="shared" si="116"/>
        <v>500448425.49501961</v>
      </c>
      <c r="AT122" s="98">
        <f t="shared" si="116"/>
        <v>500448425.49501961</v>
      </c>
      <c r="AU122" s="98">
        <f t="shared" si="116"/>
        <v>500448425.49501961</v>
      </c>
      <c r="AV122" s="98">
        <f t="shared" si="116"/>
        <v>500448425.49501961</v>
      </c>
      <c r="AW122" s="98">
        <f t="shared" si="116"/>
        <v>500448425.49501961</v>
      </c>
      <c r="AX122" s="98">
        <f t="shared" si="116"/>
        <v>500448425.49501961</v>
      </c>
      <c r="AY122" s="98">
        <f t="shared" si="116"/>
        <v>500448425.49501961</v>
      </c>
      <c r="AZ122" s="98">
        <f t="shared" si="116"/>
        <v>500448425.49501961</v>
      </c>
      <c r="BA122" s="98">
        <f t="shared" si="116"/>
        <v>500448425.49501961</v>
      </c>
      <c r="BB122" s="98">
        <f t="shared" si="116"/>
        <v>500448425.49501961</v>
      </c>
      <c r="BC122" s="98">
        <f t="shared" si="116"/>
        <v>500448425.49501961</v>
      </c>
      <c r="BD122" s="98">
        <f t="shared" si="116"/>
        <v>500448425.49501961</v>
      </c>
      <c r="BE122" s="98">
        <f t="shared" si="116"/>
        <v>500448425.49501961</v>
      </c>
    </row>
    <row r="123" spans="3:59" outlineLevel="1" x14ac:dyDescent="0.25">
      <c r="C123" s="88"/>
      <c r="E123" t="s">
        <v>836</v>
      </c>
      <c r="G123" t="s">
        <v>269</v>
      </c>
      <c r="H123" s="291" t="str">
        <f>IF(((SUMPRODUCT($J$102:$BE$102, $J$103:$BE$103) * ten) - $H$60) &gt; 0, $J$117, IF(BE121 &gt; BE122, "", $H$90))</f>
        <v/>
      </c>
      <c r="I123" s="269"/>
      <c r="J123" s="287" t="str">
        <f t="shared" ref="J123:BE123" si="117">IF((J121 &gt; J122) = (I122 &gt; J122), "", J117 - (J121 - J122) / (I118 * ten))</f>
        <v/>
      </c>
      <c r="K123" s="287" t="str">
        <f t="shared" si="117"/>
        <v/>
      </c>
      <c r="L123" s="287" t="str">
        <f t="shared" si="117"/>
        <v/>
      </c>
      <c r="M123" s="287" t="str">
        <f t="shared" si="117"/>
        <v/>
      </c>
      <c r="N123" s="287" t="str">
        <f t="shared" si="117"/>
        <v/>
      </c>
      <c r="O123" s="287" t="str">
        <f t="shared" si="117"/>
        <v/>
      </c>
      <c r="P123" s="287" t="str">
        <f t="shared" si="117"/>
        <v/>
      </c>
      <c r="Q123" s="287" t="str">
        <f t="shared" si="117"/>
        <v/>
      </c>
      <c r="R123" s="287" t="str">
        <f t="shared" si="117"/>
        <v/>
      </c>
      <c r="S123" s="287" t="str">
        <f t="shared" si="117"/>
        <v/>
      </c>
      <c r="T123" s="287" t="str">
        <f t="shared" si="117"/>
        <v/>
      </c>
      <c r="U123" s="287" t="str">
        <f t="shared" si="117"/>
        <v/>
      </c>
      <c r="V123" s="287" t="str">
        <f t="shared" si="117"/>
        <v/>
      </c>
      <c r="W123" s="287" t="str">
        <f t="shared" si="117"/>
        <v/>
      </c>
      <c r="X123" s="287" t="str">
        <f t="shared" si="117"/>
        <v/>
      </c>
      <c r="Y123" s="287" t="str">
        <f t="shared" si="117"/>
        <v/>
      </c>
      <c r="Z123" s="287" t="str">
        <f t="shared" si="117"/>
        <v/>
      </c>
      <c r="AA123" s="287" t="str">
        <f t="shared" si="117"/>
        <v/>
      </c>
      <c r="AB123" s="287" t="str">
        <f t="shared" si="117"/>
        <v/>
      </c>
      <c r="AC123" s="287" t="str">
        <f t="shared" si="117"/>
        <v/>
      </c>
      <c r="AD123" s="287" t="str">
        <f t="shared" si="117"/>
        <v/>
      </c>
      <c r="AE123" s="287" t="str">
        <f t="shared" si="117"/>
        <v/>
      </c>
      <c r="AF123" s="287" t="str">
        <f t="shared" si="117"/>
        <v/>
      </c>
      <c r="AG123" s="287" t="str">
        <f t="shared" si="117"/>
        <v/>
      </c>
      <c r="AH123" s="287" t="str">
        <f t="shared" si="117"/>
        <v/>
      </c>
      <c r="AI123" s="287" t="str">
        <f t="shared" si="117"/>
        <v/>
      </c>
      <c r="AJ123" s="287" t="str">
        <f t="shared" si="117"/>
        <v/>
      </c>
      <c r="AK123" s="287" t="str">
        <f t="shared" si="117"/>
        <v/>
      </c>
      <c r="AL123" s="287" t="str">
        <f t="shared" si="117"/>
        <v/>
      </c>
      <c r="AM123" s="287" t="str">
        <f t="shared" si="117"/>
        <v/>
      </c>
      <c r="AN123" s="287" t="str">
        <f t="shared" si="117"/>
        <v/>
      </c>
      <c r="AO123" s="287" t="str">
        <f t="shared" si="117"/>
        <v/>
      </c>
      <c r="AP123" s="287" t="str">
        <f t="shared" si="117"/>
        <v/>
      </c>
      <c r="AQ123" s="287" t="str">
        <f t="shared" si="117"/>
        <v/>
      </c>
      <c r="AR123" s="287" t="str">
        <f t="shared" si="117"/>
        <v/>
      </c>
      <c r="AS123" s="287" t="str">
        <f t="shared" si="117"/>
        <v/>
      </c>
      <c r="AT123" s="287" t="str">
        <f t="shared" si="117"/>
        <v/>
      </c>
      <c r="AU123" s="287" t="str">
        <f t="shared" si="117"/>
        <v/>
      </c>
      <c r="AV123" s="287" t="str">
        <f t="shared" si="117"/>
        <v/>
      </c>
      <c r="AW123" s="287" t="str">
        <f t="shared" si="117"/>
        <v/>
      </c>
      <c r="AX123" s="287">
        <f>IF((AX121 &gt; AX122) = (AW122 &gt; AX122), "", AX117 - (AX121 - AX122) / (AW118 * ten))</f>
        <v>0.8735748123113567</v>
      </c>
      <c r="AY123" s="287">
        <f t="shared" si="117"/>
        <v>0.8735748123113567</v>
      </c>
      <c r="AZ123" s="287">
        <f t="shared" si="117"/>
        <v>0.87357481231135692</v>
      </c>
      <c r="BA123" s="287">
        <f t="shared" si="117"/>
        <v>0.87357481231135692</v>
      </c>
      <c r="BB123" s="287">
        <f t="shared" si="117"/>
        <v>0.87357481231135692</v>
      </c>
      <c r="BC123" s="287">
        <f t="shared" si="117"/>
        <v>0.87357481231135736</v>
      </c>
      <c r="BD123" s="287">
        <f t="shared" si="117"/>
        <v>0.87357481231135736</v>
      </c>
      <c r="BE123" s="287">
        <f t="shared" si="117"/>
        <v>0.87357481231135736</v>
      </c>
      <c r="BF123" s="269"/>
      <c r="BG123" s="269"/>
    </row>
    <row r="124" spans="3:59" x14ac:dyDescent="0.25">
      <c r="C124" s="88"/>
    </row>
    <row r="125" spans="3:59" x14ac:dyDescent="0.25">
      <c r="D125" s="32" t="s">
        <v>837</v>
      </c>
      <c r="E125"/>
      <c r="H125" s="210"/>
      <c r="I125" s="210" t="s">
        <v>154</v>
      </c>
      <c r="BG125" t="s">
        <v>838</v>
      </c>
    </row>
    <row r="126" spans="3:59" x14ac:dyDescent="0.25">
      <c r="C126" s="32"/>
      <c r="D126" s="29" t="s">
        <v>839</v>
      </c>
      <c r="H126" s="210"/>
      <c r="I126" s="210"/>
    </row>
    <row r="127" spans="3:59" x14ac:dyDescent="0.25">
      <c r="C127" s="32"/>
      <c r="D127" s="29" t="s">
        <v>840</v>
      </c>
      <c r="H127" s="210"/>
      <c r="I127" s="210"/>
    </row>
    <row r="128" spans="3:59" x14ac:dyDescent="0.25">
      <c r="C128" s="32"/>
      <c r="D128" s="29"/>
      <c r="H128" s="210"/>
      <c r="I128" s="210"/>
    </row>
    <row r="129" spans="2:59" x14ac:dyDescent="0.25">
      <c r="C129" s="88"/>
      <c r="E129" t="s">
        <v>837</v>
      </c>
      <c r="G129" t="s">
        <v>269</v>
      </c>
      <c r="H129" s="287">
        <f>MIN(H123:BE123)</f>
        <v>0.8735748123113567</v>
      </c>
      <c r="I129" s="269"/>
      <c r="J129" s="269"/>
      <c r="K129" s="269"/>
      <c r="L129" s="269"/>
      <c r="M129" s="269"/>
      <c r="N129" s="269"/>
      <c r="O129" s="269"/>
      <c r="P129" s="269"/>
      <c r="Q129" s="269"/>
      <c r="R129" s="269"/>
      <c r="S129" s="269"/>
      <c r="T129" s="269"/>
      <c r="U129" s="269"/>
      <c r="V129" s="269"/>
      <c r="W129" s="269"/>
      <c r="X129" s="269"/>
      <c r="Y129" s="269"/>
      <c r="Z129" s="269"/>
      <c r="AA129" s="269"/>
      <c r="AB129" s="269"/>
      <c r="AC129" s="269"/>
      <c r="AD129" s="269"/>
      <c r="AE129" s="269"/>
      <c r="AF129" s="269"/>
      <c r="AG129" s="269"/>
      <c r="AH129" s="269"/>
      <c r="AI129" s="269"/>
      <c r="AJ129" s="269"/>
      <c r="AK129" s="269"/>
      <c r="AL129" s="269"/>
      <c r="AM129" s="269"/>
      <c r="AN129" s="269"/>
      <c r="AO129" s="269"/>
      <c r="AP129" s="269"/>
      <c r="AQ129" s="269"/>
      <c r="AR129" s="269"/>
      <c r="AS129" s="269"/>
      <c r="AT129" s="269"/>
      <c r="AU129" s="269"/>
      <c r="AV129" s="269"/>
      <c r="AW129" s="269"/>
      <c r="AX129" s="269"/>
      <c r="AY129" s="269"/>
      <c r="AZ129" s="269"/>
      <c r="BA129" s="269"/>
      <c r="BB129" s="269"/>
      <c r="BC129" s="269"/>
      <c r="BD129" s="269"/>
      <c r="BE129" s="269"/>
      <c r="BF129" s="269"/>
      <c r="BG129" s="269"/>
    </row>
    <row r="130" spans="2:59" x14ac:dyDescent="0.25">
      <c r="C130" s="88"/>
    </row>
    <row r="131" spans="2:59" x14ac:dyDescent="0.25">
      <c r="C131" s="31" t="str">
        <f ca="1">INDEX('Version control'!$H$34:$H$57,MATCH($A$1,'Version control'!$F$34:$F$57,0),1)&amp;"-E: Adder to be applied to unit rates"</f>
        <v>Section 115-E: Adder to be applied to unit rates</v>
      </c>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c r="AL131" s="31"/>
      <c r="AM131" s="31"/>
      <c r="AN131" s="31"/>
      <c r="AO131" s="31"/>
      <c r="AP131" s="31"/>
      <c r="AQ131" s="31"/>
      <c r="AR131" s="31"/>
      <c r="AS131" s="31"/>
      <c r="AT131" s="31"/>
      <c r="AU131" s="31"/>
      <c r="AV131" s="31"/>
      <c r="AW131" s="31"/>
      <c r="AX131" s="31"/>
      <c r="AY131" s="31"/>
      <c r="AZ131" s="31"/>
      <c r="BA131" s="31"/>
      <c r="BB131" s="31"/>
      <c r="BC131" s="31"/>
      <c r="BD131" s="31"/>
      <c r="BE131" s="31"/>
      <c r="BF131" s="31"/>
      <c r="BG131" s="31"/>
    </row>
    <row r="132" spans="2:59" x14ac:dyDescent="0.25">
      <c r="B132" s="29"/>
      <c r="C132" s="88"/>
    </row>
    <row r="133" spans="2:59" x14ac:dyDescent="0.25">
      <c r="C133" s="29" t="s">
        <v>841</v>
      </c>
    </row>
    <row r="134" spans="2:59" x14ac:dyDescent="0.25">
      <c r="B134" s="29"/>
      <c r="C134" s="29" t="s">
        <v>842</v>
      </c>
    </row>
    <row r="135" spans="2:59" x14ac:dyDescent="0.25">
      <c r="B135" s="29"/>
      <c r="C135" s="88"/>
    </row>
    <row r="136" spans="2:59" x14ac:dyDescent="0.25">
      <c r="B136" s="29"/>
      <c r="E136" s="88" t="s">
        <v>843</v>
      </c>
      <c r="F136" s="2"/>
      <c r="I136" t="s">
        <v>154</v>
      </c>
      <c r="BG136" t="s">
        <v>838</v>
      </c>
    </row>
    <row r="137" spans="2:59" x14ac:dyDescent="0.25">
      <c r="B137" s="29"/>
      <c r="E137" s="29" t="s">
        <v>844</v>
      </c>
    </row>
    <row r="138" spans="2:59" x14ac:dyDescent="0.25">
      <c r="B138" s="29"/>
      <c r="D138"/>
      <c r="E138" s="29" t="s">
        <v>845</v>
      </c>
      <c r="F138" s="2"/>
    </row>
    <row r="139" spans="2:59" x14ac:dyDescent="0.25">
      <c r="C139" s="88"/>
      <c r="F139" s="23" t="s">
        <v>846</v>
      </c>
      <c r="G139" s="23" t="s">
        <v>269</v>
      </c>
      <c r="H139" s="267"/>
      <c r="I139" s="267"/>
      <c r="J139" s="276">
        <f>MAX($H$129, J74)</f>
        <v>0.8735748123113567</v>
      </c>
      <c r="K139" s="276">
        <f t="shared" ref="K139:Q139" si="118">MAX($H$129, K74)</f>
        <v>0.8735748123113567</v>
      </c>
      <c r="L139" s="276">
        <f t="shared" si="118"/>
        <v>0.8735748123113567</v>
      </c>
      <c r="M139" s="276">
        <f t="shared" si="118"/>
        <v>0.8735748123113567</v>
      </c>
      <c r="N139" s="276">
        <f t="shared" si="118"/>
        <v>0.8735748123113567</v>
      </c>
      <c r="O139" s="276">
        <f t="shared" si="118"/>
        <v>0.8735748123113567</v>
      </c>
      <c r="P139" s="276">
        <f t="shared" si="118"/>
        <v>0.8735748123113567</v>
      </c>
      <c r="Q139" s="276">
        <f t="shared" si="118"/>
        <v>0.8735748123113567</v>
      </c>
      <c r="R139" s="285"/>
      <c r="S139" s="285"/>
      <c r="T139" s="285"/>
      <c r="U139" s="285"/>
      <c r="V139" s="285"/>
      <c r="W139" s="285"/>
      <c r="X139" s="285"/>
      <c r="Y139" s="285"/>
      <c r="Z139" s="269"/>
      <c r="AA139" s="269"/>
      <c r="AB139" s="269"/>
      <c r="AC139" s="269"/>
      <c r="AD139" s="269"/>
      <c r="AE139" s="269"/>
      <c r="AF139" s="269"/>
      <c r="AG139" s="269"/>
      <c r="AH139" s="269"/>
      <c r="AI139" s="269"/>
      <c r="AJ139" s="269"/>
      <c r="AK139" s="269"/>
      <c r="AL139" s="269"/>
      <c r="AM139" s="269"/>
      <c r="AN139" s="269"/>
      <c r="AO139" s="269"/>
      <c r="AP139" s="269"/>
      <c r="AQ139" s="269"/>
      <c r="AR139" s="269"/>
      <c r="AS139" s="269"/>
      <c r="AT139" s="269"/>
      <c r="AU139" s="269"/>
      <c r="AV139" s="269"/>
      <c r="AW139" s="269"/>
      <c r="AX139" s="269"/>
      <c r="AY139" s="269"/>
      <c r="AZ139" s="269"/>
      <c r="BA139" s="269"/>
      <c r="BB139" s="269"/>
      <c r="BC139" s="269"/>
      <c r="BD139" s="269"/>
      <c r="BE139" s="269"/>
      <c r="BF139" s="269"/>
      <c r="BG139" s="269"/>
    </row>
    <row r="140" spans="2:59" x14ac:dyDescent="0.25">
      <c r="C140" s="88"/>
      <c r="F140" t="s">
        <v>847</v>
      </c>
      <c r="G140" t="s">
        <v>269</v>
      </c>
      <c r="H140" s="269"/>
      <c r="I140" s="269"/>
      <c r="J140" s="277">
        <f>MAX($H$129, J75)</f>
        <v>0.8735748123113567</v>
      </c>
      <c r="K140" s="277">
        <f t="shared" ref="K140:Q140" si="119">MAX($H$129, K75)</f>
        <v>0.8735748123113567</v>
      </c>
      <c r="L140" s="277">
        <f t="shared" si="119"/>
        <v>0.8735748123113567</v>
      </c>
      <c r="M140" s="277">
        <f t="shared" si="119"/>
        <v>0.8735748123113567</v>
      </c>
      <c r="N140" s="277">
        <f t="shared" si="119"/>
        <v>0.8735748123113567</v>
      </c>
      <c r="O140" s="277">
        <f t="shared" si="119"/>
        <v>0.8735748123113567</v>
      </c>
      <c r="P140" s="277">
        <f t="shared" si="119"/>
        <v>0.8735748123113567</v>
      </c>
      <c r="Q140" s="277">
        <f t="shared" si="119"/>
        <v>0.8735748123113567</v>
      </c>
      <c r="R140" s="270"/>
      <c r="S140" s="270"/>
      <c r="T140" s="270"/>
      <c r="U140" s="270"/>
      <c r="V140" s="270"/>
      <c r="W140" s="270"/>
      <c r="X140" s="270"/>
      <c r="Y140" s="270"/>
      <c r="Z140" s="269"/>
      <c r="AA140" s="269"/>
      <c r="AB140" s="269"/>
      <c r="AC140" s="269"/>
      <c r="AD140" s="269"/>
      <c r="AE140" s="269"/>
      <c r="AF140" s="269"/>
      <c r="AG140" s="269"/>
      <c r="AH140" s="269"/>
      <c r="AI140" s="269"/>
      <c r="AJ140" s="269"/>
      <c r="AK140" s="269"/>
      <c r="AL140" s="269"/>
      <c r="AM140" s="269"/>
      <c r="AN140" s="269"/>
      <c r="AO140" s="269"/>
      <c r="AP140" s="269"/>
      <c r="AQ140" s="269"/>
      <c r="AR140" s="269"/>
      <c r="AS140" s="269"/>
      <c r="AT140" s="269"/>
      <c r="AU140" s="269"/>
      <c r="AV140" s="269"/>
      <c r="AW140" s="269"/>
      <c r="AX140" s="269"/>
      <c r="AY140" s="269"/>
      <c r="AZ140" s="269"/>
      <c r="BA140" s="269"/>
      <c r="BB140" s="269"/>
      <c r="BC140" s="269"/>
      <c r="BD140" s="269"/>
      <c r="BE140" s="269"/>
      <c r="BF140" s="269"/>
      <c r="BG140" s="269"/>
    </row>
    <row r="141" spans="2:59" x14ac:dyDescent="0.25">
      <c r="C141" s="88"/>
      <c r="F141" s="37" t="s">
        <v>848</v>
      </c>
      <c r="G141" s="37" t="s">
        <v>269</v>
      </c>
      <c r="H141" s="273"/>
      <c r="I141" s="273"/>
      <c r="J141" s="278">
        <f>MAX($H$129, J76)</f>
        <v>0.8735748123113567</v>
      </c>
      <c r="K141" s="278">
        <f t="shared" ref="K141:Q141" si="120">MAX($H$129, K76)</f>
        <v>0.8735748123113567</v>
      </c>
      <c r="L141" s="278">
        <f t="shared" si="120"/>
        <v>0.8735748123113567</v>
      </c>
      <c r="M141" s="278">
        <f t="shared" si="120"/>
        <v>0.8735748123113567</v>
      </c>
      <c r="N141" s="278">
        <f t="shared" si="120"/>
        <v>0.8735748123113567</v>
      </c>
      <c r="O141" s="278">
        <f t="shared" si="120"/>
        <v>0.8735748123113567</v>
      </c>
      <c r="P141" s="278">
        <f t="shared" si="120"/>
        <v>0.8735748123113567</v>
      </c>
      <c r="Q141" s="278">
        <f t="shared" si="120"/>
        <v>0.8735748123113567</v>
      </c>
      <c r="R141" s="274"/>
      <c r="S141" s="274"/>
      <c r="T141" s="274"/>
      <c r="U141" s="274"/>
      <c r="V141" s="274"/>
      <c r="W141" s="274"/>
      <c r="X141" s="274"/>
      <c r="Y141" s="274"/>
      <c r="Z141" s="269"/>
      <c r="AA141" s="269"/>
      <c r="AB141" s="269"/>
      <c r="AC141" s="269"/>
      <c r="AD141" s="269"/>
      <c r="AE141" s="269"/>
      <c r="AF141" s="269"/>
      <c r="AG141" s="269"/>
      <c r="AH141" s="269"/>
      <c r="AI141" s="269"/>
      <c r="AJ141" s="269"/>
      <c r="AK141" s="269"/>
      <c r="AL141" s="269"/>
      <c r="AM141" s="269"/>
      <c r="AN141" s="269"/>
      <c r="AO141" s="269"/>
      <c r="AP141" s="269"/>
      <c r="AQ141" s="269"/>
      <c r="AR141" s="269"/>
      <c r="AS141" s="269"/>
      <c r="AT141" s="269"/>
      <c r="AU141" s="269"/>
      <c r="AV141" s="269"/>
      <c r="AW141" s="269"/>
      <c r="AX141" s="269"/>
      <c r="AY141" s="269"/>
      <c r="AZ141" s="269"/>
      <c r="BA141" s="269"/>
      <c r="BB141" s="269"/>
      <c r="BC141" s="269"/>
      <c r="BD141" s="269"/>
      <c r="BE141" s="269"/>
      <c r="BF141" s="269"/>
      <c r="BG141" s="269"/>
    </row>
    <row r="142" spans="2:59" x14ac:dyDescent="0.25">
      <c r="C142" s="88"/>
    </row>
    <row r="143" spans="2:59" x14ac:dyDescent="0.25">
      <c r="B143" s="30" t="s">
        <v>231</v>
      </c>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c r="AA143" s="30"/>
      <c r="AB143" s="105"/>
      <c r="AC143" s="105"/>
      <c r="AD143" s="105"/>
      <c r="AE143" s="105"/>
      <c r="AF143" s="105"/>
      <c r="AG143" s="105"/>
      <c r="AH143" s="105"/>
      <c r="AI143" s="105"/>
      <c r="AJ143" s="105"/>
      <c r="AK143" s="105"/>
      <c r="AL143" s="105"/>
      <c r="AM143" s="105"/>
      <c r="AN143" s="105"/>
      <c r="AO143" s="105"/>
      <c r="AP143" s="105"/>
      <c r="AQ143" s="105"/>
      <c r="AR143" s="105"/>
      <c r="AS143" s="105"/>
      <c r="AT143" s="105"/>
      <c r="AU143" s="105"/>
      <c r="AV143" s="105"/>
      <c r="AW143" s="105"/>
      <c r="AX143" s="105"/>
      <c r="AY143" s="105"/>
      <c r="AZ143" s="105"/>
      <c r="BA143" s="105"/>
      <c r="BB143" s="105"/>
      <c r="BC143" s="105"/>
      <c r="BD143" s="105"/>
      <c r="BE143" s="105"/>
      <c r="BF143" s="105"/>
      <c r="BG143" s="105"/>
    </row>
    <row r="145" spans="4:25" x14ac:dyDescent="0.25">
      <c r="E145" t="s">
        <v>849</v>
      </c>
      <c r="G145" s="6" t="s">
        <v>55</v>
      </c>
      <c r="H145" s="187">
        <f>IF(IFERROR(J122, 1) &gt; IFERROR(J121, 0), 0, 1)</f>
        <v>0</v>
      </c>
    </row>
    <row r="147" spans="4:25" x14ac:dyDescent="0.25">
      <c r="E147" t="s">
        <v>232</v>
      </c>
      <c r="G147" s="6" t="s">
        <v>55</v>
      </c>
      <c r="H147" s="187">
        <f t="array" ref="H147">SUM(IF(ISERROR(H20:BE142), 1))</f>
        <v>0</v>
      </c>
    </row>
    <row r="149" spans="4:25" x14ac:dyDescent="0.25">
      <c r="D149"/>
      <c r="E149" s="32" t="s">
        <v>1060</v>
      </c>
      <c r="F149" s="2"/>
    </row>
    <row r="150" spans="4:25" x14ac:dyDescent="0.25">
      <c r="D150"/>
      <c r="E150" s="88"/>
      <c r="F150" s="23" t="s">
        <v>156</v>
      </c>
      <c r="G150" s="23" t="s">
        <v>277</v>
      </c>
      <c r="H150" s="23"/>
      <c r="I150" s="23"/>
      <c r="J150" s="126">
        <f t="shared" ref="J150:Y150" si="121">(J139) * J29 * ten</f>
        <v>8697349.0571828336</v>
      </c>
      <c r="K150" s="126">
        <f t="shared" si="121"/>
        <v>7379.6371102398607</v>
      </c>
      <c r="L150" s="126">
        <f t="shared" si="121"/>
        <v>2870235.782828345</v>
      </c>
      <c r="M150" s="126">
        <f t="shared" si="121"/>
        <v>260.86162256403298</v>
      </c>
      <c r="N150" s="126">
        <f t="shared" si="121"/>
        <v>3032885.0875957473</v>
      </c>
      <c r="O150" s="126">
        <f t="shared" si="121"/>
        <v>252065.81210196632</v>
      </c>
      <c r="P150" s="126">
        <f t="shared" si="121"/>
        <v>6051675.4379333165</v>
      </c>
      <c r="Q150" s="126">
        <f t="shared" si="121"/>
        <v>85685.284400023666</v>
      </c>
      <c r="R150" s="126">
        <f t="shared" si="121"/>
        <v>0</v>
      </c>
      <c r="S150" s="126">
        <f t="shared" si="121"/>
        <v>0</v>
      </c>
      <c r="T150" s="126">
        <f t="shared" si="121"/>
        <v>0</v>
      </c>
      <c r="U150" s="126">
        <f t="shared" si="121"/>
        <v>0</v>
      </c>
      <c r="V150" s="126">
        <f t="shared" si="121"/>
        <v>0</v>
      </c>
      <c r="W150" s="126">
        <f t="shared" si="121"/>
        <v>0</v>
      </c>
      <c r="X150" s="126">
        <f t="shared" si="121"/>
        <v>0</v>
      </c>
      <c r="Y150" s="126">
        <f t="shared" si="121"/>
        <v>0</v>
      </c>
    </row>
    <row r="151" spans="4:25" x14ac:dyDescent="0.25">
      <c r="D151"/>
      <c r="E151" s="88"/>
      <c r="F151" t="s">
        <v>157</v>
      </c>
      <c r="G151" t="s">
        <v>277</v>
      </c>
      <c r="J151" s="98">
        <f t="shared" ref="J151:Y151" si="122">(J140) * J30 * ten</f>
        <v>25757321.395688593</v>
      </c>
      <c r="K151" s="98">
        <f t="shared" si="122"/>
        <v>47525.403520218788</v>
      </c>
      <c r="L151" s="98">
        <f t="shared" si="122"/>
        <v>11825679.864007141</v>
      </c>
      <c r="M151" s="98">
        <f t="shared" si="122"/>
        <v>4054.114718162019</v>
      </c>
      <c r="N151" s="98">
        <f t="shared" si="122"/>
        <v>12771079.21182123</v>
      </c>
      <c r="O151" s="98">
        <f t="shared" si="122"/>
        <v>935959.81282143516</v>
      </c>
      <c r="P151" s="98">
        <f t="shared" si="122"/>
        <v>23101005.594931036</v>
      </c>
      <c r="Q151" s="98">
        <f t="shared" si="122"/>
        <v>428913.84920918144</v>
      </c>
      <c r="R151" s="98">
        <f t="shared" si="122"/>
        <v>0</v>
      </c>
      <c r="S151" s="98">
        <f t="shared" si="122"/>
        <v>0</v>
      </c>
      <c r="T151" s="98">
        <f t="shared" si="122"/>
        <v>0</v>
      </c>
      <c r="U151" s="98">
        <f t="shared" si="122"/>
        <v>0</v>
      </c>
      <c r="V151" s="98">
        <f t="shared" si="122"/>
        <v>0</v>
      </c>
      <c r="W151" s="98">
        <f t="shared" si="122"/>
        <v>0</v>
      </c>
      <c r="X151" s="98">
        <f t="shared" si="122"/>
        <v>0</v>
      </c>
      <c r="Y151" s="98">
        <f t="shared" si="122"/>
        <v>0</v>
      </c>
    </row>
    <row r="152" spans="4:25" x14ac:dyDescent="0.25">
      <c r="D152"/>
      <c r="E152" s="88"/>
      <c r="F152" t="s">
        <v>158</v>
      </c>
      <c r="G152" t="s">
        <v>277</v>
      </c>
      <c r="J152" s="98">
        <f t="shared" ref="J152:Y152" si="123">(J141) * J31 * ten</f>
        <v>42579154.871193171</v>
      </c>
      <c r="K152" s="98">
        <f t="shared" si="123"/>
        <v>86481.430261259826</v>
      </c>
      <c r="L152" s="98">
        <f t="shared" si="123"/>
        <v>12973546.210027788</v>
      </c>
      <c r="M152" s="98">
        <f t="shared" si="123"/>
        <v>15665.39954152365</v>
      </c>
      <c r="N152" s="98">
        <f t="shared" si="123"/>
        <v>13982274.70053488</v>
      </c>
      <c r="O152" s="98">
        <f t="shared" si="123"/>
        <v>1087239.438949734</v>
      </c>
      <c r="P152" s="98">
        <f t="shared" si="123"/>
        <v>32963207.89004527</v>
      </c>
      <c r="Q152" s="98">
        <f t="shared" si="123"/>
        <v>1420693.1353798453</v>
      </c>
      <c r="R152" s="98">
        <f t="shared" si="123"/>
        <v>0</v>
      </c>
      <c r="S152" s="98">
        <f t="shared" si="123"/>
        <v>0</v>
      </c>
      <c r="T152" s="98">
        <f t="shared" si="123"/>
        <v>0</v>
      </c>
      <c r="U152" s="98">
        <f t="shared" si="123"/>
        <v>0</v>
      </c>
      <c r="V152" s="98">
        <f t="shared" si="123"/>
        <v>0</v>
      </c>
      <c r="W152" s="98">
        <f t="shared" si="123"/>
        <v>0</v>
      </c>
      <c r="X152" s="98">
        <f t="shared" si="123"/>
        <v>0</v>
      </c>
      <c r="Y152" s="98">
        <f t="shared" si="123"/>
        <v>0</v>
      </c>
    </row>
    <row r="153" spans="4:25" x14ac:dyDescent="0.25">
      <c r="D153"/>
      <c r="E153" s="88"/>
      <c r="F153" t="s">
        <v>159</v>
      </c>
      <c r="G153" t="s">
        <v>277</v>
      </c>
      <c r="J153" s="98">
        <f t="shared" ref="J153:Y153" si="124">(J142) * J32 * ten</f>
        <v>0</v>
      </c>
      <c r="K153" s="98">
        <f t="shared" si="124"/>
        <v>0</v>
      </c>
      <c r="L153" s="98">
        <f t="shared" si="124"/>
        <v>0</v>
      </c>
      <c r="M153" s="98">
        <f t="shared" si="124"/>
        <v>0</v>
      </c>
      <c r="N153" s="98">
        <f t="shared" si="124"/>
        <v>0</v>
      </c>
      <c r="O153" s="98">
        <f t="shared" si="124"/>
        <v>0</v>
      </c>
      <c r="P153" s="98">
        <f t="shared" si="124"/>
        <v>0</v>
      </c>
      <c r="Q153" s="98">
        <f t="shared" si="124"/>
        <v>0</v>
      </c>
      <c r="R153" s="98">
        <f t="shared" si="124"/>
        <v>0</v>
      </c>
      <c r="S153" s="98">
        <f t="shared" si="124"/>
        <v>0</v>
      </c>
      <c r="T153" s="98">
        <f t="shared" si="124"/>
        <v>0</v>
      </c>
      <c r="U153" s="98">
        <f t="shared" si="124"/>
        <v>0</v>
      </c>
      <c r="V153" s="98">
        <f t="shared" si="124"/>
        <v>0</v>
      </c>
      <c r="W153" s="98">
        <f t="shared" si="124"/>
        <v>0</v>
      </c>
      <c r="X153" s="98">
        <f t="shared" si="124"/>
        <v>0</v>
      </c>
      <c r="Y153" s="98">
        <f t="shared" si="124"/>
        <v>0</v>
      </c>
    </row>
    <row r="154" spans="4:25" x14ac:dyDescent="0.25">
      <c r="D154"/>
      <c r="E154" s="88"/>
      <c r="F154" t="s">
        <v>160</v>
      </c>
      <c r="G154" t="s">
        <v>277</v>
      </c>
      <c r="J154" s="98">
        <f t="shared" ref="J154:Y154" si="125">(J143) * J33 * ten</f>
        <v>0</v>
      </c>
      <c r="K154" s="98">
        <f t="shared" si="125"/>
        <v>0</v>
      </c>
      <c r="L154" s="98">
        <f t="shared" si="125"/>
        <v>0</v>
      </c>
      <c r="M154" s="98">
        <f t="shared" si="125"/>
        <v>0</v>
      </c>
      <c r="N154" s="98">
        <f t="shared" si="125"/>
        <v>0</v>
      </c>
      <c r="O154" s="98">
        <f t="shared" si="125"/>
        <v>0</v>
      </c>
      <c r="P154" s="98">
        <f t="shared" si="125"/>
        <v>0</v>
      </c>
      <c r="Q154" s="98">
        <f t="shared" si="125"/>
        <v>0</v>
      </c>
      <c r="R154" s="98">
        <f t="shared" si="125"/>
        <v>0</v>
      </c>
      <c r="S154" s="98">
        <f t="shared" si="125"/>
        <v>0</v>
      </c>
      <c r="T154" s="98">
        <f t="shared" si="125"/>
        <v>0</v>
      </c>
      <c r="U154" s="98">
        <f t="shared" si="125"/>
        <v>0</v>
      </c>
      <c r="V154" s="98">
        <f t="shared" si="125"/>
        <v>0</v>
      </c>
      <c r="W154" s="98">
        <f t="shared" si="125"/>
        <v>0</v>
      </c>
      <c r="X154" s="98">
        <f t="shared" si="125"/>
        <v>0</v>
      </c>
      <c r="Y154" s="98">
        <f t="shared" si="125"/>
        <v>0</v>
      </c>
    </row>
    <row r="155" spans="4:25" x14ac:dyDescent="0.25">
      <c r="D155"/>
      <c r="E155" s="88"/>
      <c r="F155" t="s">
        <v>161</v>
      </c>
      <c r="G155" t="s">
        <v>277</v>
      </c>
      <c r="J155" s="98">
        <f t="shared" ref="J155:Y155" si="126">(J144) * J34 * ten</f>
        <v>0</v>
      </c>
      <c r="K155" s="98">
        <f t="shared" si="126"/>
        <v>0</v>
      </c>
      <c r="L155" s="98">
        <f t="shared" si="126"/>
        <v>0</v>
      </c>
      <c r="M155" s="98">
        <f t="shared" si="126"/>
        <v>0</v>
      </c>
      <c r="N155" s="98">
        <f t="shared" si="126"/>
        <v>0</v>
      </c>
      <c r="O155" s="98">
        <f t="shared" si="126"/>
        <v>0</v>
      </c>
      <c r="P155" s="98">
        <f t="shared" si="126"/>
        <v>0</v>
      </c>
      <c r="Q155" s="98">
        <f t="shared" si="126"/>
        <v>0</v>
      </c>
      <c r="R155" s="98">
        <f t="shared" si="126"/>
        <v>0</v>
      </c>
      <c r="S155" s="98">
        <f t="shared" si="126"/>
        <v>0</v>
      </c>
      <c r="T155" s="98">
        <f t="shared" si="126"/>
        <v>0</v>
      </c>
      <c r="U155" s="98">
        <f t="shared" si="126"/>
        <v>0</v>
      </c>
      <c r="V155" s="98">
        <f t="shared" si="126"/>
        <v>0</v>
      </c>
      <c r="W155" s="98">
        <f t="shared" si="126"/>
        <v>0</v>
      </c>
      <c r="X155" s="98">
        <f t="shared" si="126"/>
        <v>0</v>
      </c>
      <c r="Y155" s="98">
        <f t="shared" si="126"/>
        <v>0</v>
      </c>
    </row>
    <row r="156" spans="4:25" x14ac:dyDescent="0.25">
      <c r="D156"/>
      <c r="E156" s="88"/>
      <c r="F156" s="37" t="s">
        <v>162</v>
      </c>
      <c r="G156" s="37" t="s">
        <v>277</v>
      </c>
      <c r="H156" s="37"/>
      <c r="I156" s="37"/>
      <c r="J156" s="100">
        <f t="shared" ref="J156:Y156" si="127">(J145) * J35 * ten</f>
        <v>0</v>
      </c>
      <c r="K156" s="100">
        <f t="shared" si="127"/>
        <v>0</v>
      </c>
      <c r="L156" s="100">
        <f t="shared" si="127"/>
        <v>0</v>
      </c>
      <c r="M156" s="100">
        <f t="shared" si="127"/>
        <v>0</v>
      </c>
      <c r="N156" s="100">
        <f t="shared" si="127"/>
        <v>0</v>
      </c>
      <c r="O156" s="100">
        <f t="shared" si="127"/>
        <v>0</v>
      </c>
      <c r="P156" s="100">
        <f t="shared" si="127"/>
        <v>0</v>
      </c>
      <c r="Q156" s="100">
        <f t="shared" si="127"/>
        <v>0</v>
      </c>
      <c r="R156" s="100">
        <f t="shared" si="127"/>
        <v>0</v>
      </c>
      <c r="S156" s="100">
        <f t="shared" si="127"/>
        <v>0</v>
      </c>
      <c r="T156" s="100">
        <f t="shared" si="127"/>
        <v>0</v>
      </c>
      <c r="U156" s="100">
        <f t="shared" si="127"/>
        <v>0</v>
      </c>
      <c r="V156" s="100">
        <f t="shared" si="127"/>
        <v>0</v>
      </c>
      <c r="W156" s="100">
        <f t="shared" si="127"/>
        <v>0</v>
      </c>
      <c r="X156" s="100">
        <f t="shared" si="127"/>
        <v>0</v>
      </c>
      <c r="Y156" s="100">
        <f t="shared" si="127"/>
        <v>0</v>
      </c>
    </row>
    <row r="158" spans="4:25" x14ac:dyDescent="0.25">
      <c r="E158" t="s">
        <v>1061</v>
      </c>
      <c r="G158" t="s">
        <v>277</v>
      </c>
      <c r="H158" s="89">
        <f>SUM(J150:Y156)</f>
        <v>200977339.28342551</v>
      </c>
    </row>
    <row r="160" spans="4:25" x14ac:dyDescent="0.25">
      <c r="E160" t="s">
        <v>850</v>
      </c>
      <c r="G160" t="s">
        <v>55</v>
      </c>
      <c r="H160" s="187">
        <f>IF(ABS(IFERROR(H158, 0) - H60) &lt; 10^-check_decimals, 0, 1)</f>
        <v>0</v>
      </c>
    </row>
    <row r="162" spans="2:59" x14ac:dyDescent="0.25">
      <c r="E162" t="s">
        <v>851</v>
      </c>
      <c r="G162" s="6" t="s">
        <v>55</v>
      </c>
      <c r="H162" s="103">
        <f>H145 + H147 + H160</f>
        <v>0</v>
      </c>
    </row>
    <row r="164" spans="2:59" x14ac:dyDescent="0.25">
      <c r="B164" s="30" t="s">
        <v>106</v>
      </c>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c r="AA164" s="30"/>
      <c r="AB164" s="105"/>
      <c r="AC164" s="105"/>
      <c r="AD164" s="105"/>
      <c r="AE164" s="105"/>
      <c r="AF164" s="105"/>
      <c r="AG164" s="105"/>
      <c r="AH164" s="105"/>
      <c r="AI164" s="105"/>
      <c r="AJ164" s="105"/>
      <c r="AK164" s="105"/>
      <c r="AL164" s="105"/>
      <c r="AM164" s="105"/>
      <c r="AN164" s="105"/>
      <c r="AO164" s="105"/>
      <c r="AP164" s="105"/>
      <c r="AQ164" s="105"/>
      <c r="AR164" s="105"/>
      <c r="AS164" s="105"/>
      <c r="AT164" s="105"/>
      <c r="AU164" s="105"/>
      <c r="AV164" s="105"/>
      <c r="AW164" s="105"/>
      <c r="AX164" s="105"/>
      <c r="AY164" s="105"/>
      <c r="AZ164" s="105"/>
      <c r="BA164" s="105"/>
      <c r="BB164" s="105"/>
      <c r="BC164" s="105"/>
      <c r="BD164" s="105"/>
      <c r="BE164" s="105"/>
      <c r="BF164" s="105"/>
      <c r="BG164" s="105"/>
    </row>
  </sheetData>
  <sheetProtection sheet="1" objects="1" formatCells="0" formatColumns="0" formatRows="0" sort="0" autoFilter="0"/>
  <conditionalFormatting sqref="H147">
    <cfRule type="cellIs" dxfId="39" priority="13" operator="greaterThan">
      <formula>0</formula>
    </cfRule>
  </conditionalFormatting>
  <conditionalFormatting sqref="H160">
    <cfRule type="cellIs" dxfId="38" priority="12" operator="greaterThan">
      <formula>0</formula>
    </cfRule>
  </conditionalFormatting>
  <conditionalFormatting sqref="H162">
    <cfRule type="cellIs" dxfId="37" priority="11" operator="greaterThan">
      <formula>0</formula>
    </cfRule>
  </conditionalFormatting>
  <conditionalFormatting sqref="H145">
    <cfRule type="cellIs" dxfId="36" priority="10" operator="greaterThan">
      <formula>0</formula>
    </cfRule>
  </conditionalFormatting>
  <conditionalFormatting sqref="A4:I4 Z4:XFD4">
    <cfRule type="expression" dxfId="35" priority="9">
      <formula>LEFT($A$4,1) &lt;&gt; "0"</formula>
    </cfRule>
  </conditionalFormatting>
  <conditionalFormatting sqref="N4:P4">
    <cfRule type="expression" dxfId="34" priority="8">
      <formula>LEFT($A$4,1) &lt;&gt; "0"</formula>
    </cfRule>
  </conditionalFormatting>
  <conditionalFormatting sqref="L4:M4">
    <cfRule type="expression" dxfId="33" priority="7">
      <formula>LEFT($A$4,1) &lt;&gt; "0"</formula>
    </cfRule>
  </conditionalFormatting>
  <conditionalFormatting sqref="J4:K4">
    <cfRule type="expression" dxfId="32" priority="6">
      <formula>LEFT($A$4,1) &lt;&gt; "0"</formula>
    </cfRule>
  </conditionalFormatting>
  <conditionalFormatting sqref="Q4">
    <cfRule type="expression" dxfId="31" priority="5">
      <formula>LEFT($A$4,1) &lt;&gt; "0"</formula>
    </cfRule>
  </conditionalFormatting>
  <conditionalFormatting sqref="R4:S4">
    <cfRule type="expression" dxfId="30" priority="4">
      <formula>LEFT($A$4,1) &lt;&gt; "0"</formula>
    </cfRule>
  </conditionalFormatting>
  <conditionalFormatting sqref="T4:U4">
    <cfRule type="expression" dxfId="29" priority="3">
      <formula>LEFT($A$4,1) &lt;&gt; "0"</formula>
    </cfRule>
  </conditionalFormatting>
  <conditionalFormatting sqref="V4:W4">
    <cfRule type="expression" dxfId="28" priority="2">
      <formula>LEFT($A$4,1) &lt;&gt; "0"</formula>
    </cfRule>
  </conditionalFormatting>
  <conditionalFormatting sqref="X4:Y4">
    <cfRule type="expression" dxfId="27"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O7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1" width="24.5703125" hidden="1" customWidth="1"/>
    <col min="302" max="16384" width="8.5703125" hidden="1"/>
  </cols>
  <sheetData>
    <row r="1" spans="1:27" s="1" customFormat="1" x14ac:dyDescent="0.25">
      <c r="A1" s="1" t="str">
        <f ca="1">MID(CELL("filename",A1),FIND("]",CELL("filename",A1))+1,255)</f>
        <v>Fixed charge adder</v>
      </c>
    </row>
    <row r="2" spans="1:27" s="1" customFormat="1" x14ac:dyDescent="0.25">
      <c r="A2" s="1" t="str">
        <f>Cover!D21&amp;" - "&amp;Cover!D23</f>
        <v>WPD East Midlands - April 21 Prices</v>
      </c>
    </row>
    <row r="3" spans="1:27" s="5" customFormat="1" x14ac:dyDescent="0.25">
      <c r="A3" s="5" t="str">
        <f>Cover!D2&amp;" - "&amp;Cover!D8&amp;" v"&amp;Cover!D10&amp;" - "&amp;Cover!D19</f>
        <v>CDCM charging model - Release for charge setting v5 - 2021/22</v>
      </c>
    </row>
    <row r="4" spans="1:27" x14ac:dyDescent="0.25">
      <c r="A4" s="12" t="str">
        <f>H66 &amp; IF(H66 = 1, " issue", " issues") &amp;" identified in checks on this sheet"</f>
        <v>0 issues identified in checks on this sheet</v>
      </c>
      <c r="B4" s="13"/>
      <c r="C4" s="13"/>
      <c r="D4" s="13"/>
      <c r="E4" s="13"/>
      <c r="F4" s="13"/>
      <c r="G4" s="13"/>
      <c r="H4" s="14"/>
      <c r="I4" s="14"/>
      <c r="J4" s="13"/>
    </row>
    <row r="5" spans="1:27" ht="60" x14ac:dyDescent="0.25">
      <c r="B5" s="59" t="s">
        <v>142</v>
      </c>
      <c r="C5" s="60"/>
      <c r="D5" s="60"/>
      <c r="E5" s="60"/>
      <c r="F5" s="60"/>
      <c r="G5" s="61" t="s">
        <v>143</v>
      </c>
      <c r="H5" s="62" t="s">
        <v>144</v>
      </c>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1026</v>
      </c>
      <c r="E9"/>
    </row>
    <row r="10" spans="1:27" x14ac:dyDescent="0.25">
      <c r="C10" s="29" t="s">
        <v>1027</v>
      </c>
      <c r="E10"/>
    </row>
    <row r="12" spans="1:27" x14ac:dyDescent="0.25">
      <c r="B12" s="30" t="s">
        <v>1028</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row>
    <row r="14" spans="1:27" x14ac:dyDescent="0.25">
      <c r="C14" s="29" t="s">
        <v>1029</v>
      </c>
    </row>
    <row r="16" spans="1:27" x14ac:dyDescent="0.25">
      <c r="C16" s="31" t="str">
        <f ca="1">INDEX('Version control'!$H$34:$H$58,MATCH($A$1,'Version control'!$F$34:$F$58,0),1)&amp;"-A: Inputs for fixed tariff adjustments"</f>
        <v>Section 116-A: Inputs for fixed tariff adjustments</v>
      </c>
      <c r="D16" s="31"/>
      <c r="E16" s="31"/>
      <c r="F16" s="31"/>
      <c r="G16" s="31"/>
      <c r="H16" s="31"/>
      <c r="I16" s="31"/>
      <c r="J16" s="31"/>
      <c r="K16" s="31"/>
      <c r="L16" s="31"/>
      <c r="M16" s="31"/>
      <c r="N16" s="31"/>
      <c r="O16" s="31"/>
      <c r="P16" s="31"/>
      <c r="Q16" s="31"/>
      <c r="R16" s="31"/>
      <c r="S16" s="31"/>
      <c r="T16" s="31"/>
      <c r="U16" s="31"/>
      <c r="V16" s="31"/>
      <c r="W16" s="31"/>
      <c r="X16" s="31"/>
      <c r="Y16" s="31"/>
      <c r="Z16" s="31"/>
      <c r="AA16" s="31"/>
    </row>
    <row r="18" spans="3:27" x14ac:dyDescent="0.25">
      <c r="E18" s="88" t="s">
        <v>212</v>
      </c>
      <c r="F18" s="32"/>
    </row>
    <row r="19" spans="3:27" x14ac:dyDescent="0.25">
      <c r="E19" s="29" t="s">
        <v>1030</v>
      </c>
      <c r="F19" s="2"/>
    </row>
    <row r="20" spans="3:27" x14ac:dyDescent="0.25">
      <c r="C20" s="88"/>
      <c r="F20" s="23" t="s">
        <v>447</v>
      </c>
      <c r="G20" s="23" t="s">
        <v>212</v>
      </c>
      <c r="H20" s="283"/>
      <c r="I20" s="267"/>
      <c r="J20" s="283">
        <f>'Inputs by customer type'!J24</f>
        <v>2477513.7178437123</v>
      </c>
      <c r="K20" s="283">
        <f>'Inputs by customer type'!K24</f>
        <v>0</v>
      </c>
      <c r="L20" s="283">
        <f>'Inputs by customer type'!L24</f>
        <v>185569.60899648417</v>
      </c>
      <c r="M20" s="283">
        <f>'Inputs by customer type'!M24</f>
        <v>0</v>
      </c>
      <c r="N20" s="283">
        <f>'Inputs by customer type'!N24</f>
        <v>15340.276254392342</v>
      </c>
      <c r="O20" s="283">
        <f>'Inputs by customer type'!O24</f>
        <v>459.27543026736708</v>
      </c>
      <c r="P20" s="283">
        <f>'Inputs by customer type'!P24</f>
        <v>3354.375620826745</v>
      </c>
      <c r="Q20" s="283">
        <f>'Inputs by customer type'!Q24</f>
        <v>31.606325583497927</v>
      </c>
      <c r="R20" s="283">
        <f>'Inputs by customer type'!R24</f>
        <v>0</v>
      </c>
      <c r="S20" s="283">
        <f>'Inputs by customer type'!S24</f>
        <v>0</v>
      </c>
      <c r="T20" s="283">
        <f>'Inputs by customer type'!T24</f>
        <v>737.24112185551337</v>
      </c>
      <c r="U20" s="283">
        <f>'Inputs by customer type'!U24</f>
        <v>0</v>
      </c>
      <c r="V20" s="283">
        <f>'Inputs by customer type'!V24</f>
        <v>52.799295590310457</v>
      </c>
      <c r="W20" s="283">
        <f>'Inputs by customer type'!W24</f>
        <v>0</v>
      </c>
      <c r="X20" s="283">
        <f>'Inputs by customer type'!X24</f>
        <v>465.20466013888074</v>
      </c>
      <c r="Y20" s="283">
        <f>'Inputs by customer type'!Y24</f>
        <v>0</v>
      </c>
      <c r="Z20" s="269"/>
      <c r="AA20" s="269"/>
    </row>
    <row r="21" spans="3:27" x14ac:dyDescent="0.25">
      <c r="C21" s="88"/>
      <c r="F21" t="s">
        <v>448</v>
      </c>
      <c r="G21" t="s">
        <v>212</v>
      </c>
      <c r="H21" s="284"/>
      <c r="I21" s="269"/>
      <c r="J21" s="284">
        <f>'Inputs by customer type'!J33</f>
        <v>37750.717101212329</v>
      </c>
      <c r="K21" s="284">
        <f>'Inputs by customer type'!K33</f>
        <v>0</v>
      </c>
      <c r="L21" s="284">
        <f>'Inputs by customer type'!L33</f>
        <v>675.59151524793992</v>
      </c>
      <c r="M21" s="284">
        <f>'Inputs by customer type'!M33</f>
        <v>0</v>
      </c>
      <c r="N21" s="284">
        <f>'Inputs by customer type'!N33</f>
        <v>72.304526182405169</v>
      </c>
      <c r="O21" s="284">
        <f>'Inputs by customer type'!O33</f>
        <v>0</v>
      </c>
      <c r="P21" s="284">
        <f>'Inputs by customer type'!P33</f>
        <v>0</v>
      </c>
      <c r="Q21" s="284">
        <f>'Inputs by customer type'!Q33</f>
        <v>0</v>
      </c>
      <c r="R21" s="284">
        <f>'Inputs by customer type'!R33</f>
        <v>0</v>
      </c>
      <c r="S21" s="284">
        <f>'Inputs by customer type'!S33</f>
        <v>0</v>
      </c>
      <c r="T21" s="284">
        <f>'Inputs by customer type'!T33</f>
        <v>0</v>
      </c>
      <c r="U21" s="284">
        <f>'Inputs by customer type'!U33</f>
        <v>0</v>
      </c>
      <c r="V21" s="284">
        <f>'Inputs by customer type'!V33</f>
        <v>0</v>
      </c>
      <c r="W21" s="284">
        <f>'Inputs by customer type'!W33</f>
        <v>0</v>
      </c>
      <c r="X21" s="284">
        <f>'Inputs by customer type'!X33</f>
        <v>0</v>
      </c>
      <c r="Y21" s="284">
        <f>'Inputs by customer type'!Y33</f>
        <v>0</v>
      </c>
      <c r="Z21" s="269"/>
      <c r="AA21" s="269"/>
    </row>
    <row r="22" spans="3:27" x14ac:dyDescent="0.25">
      <c r="C22" s="88"/>
      <c r="F22" t="s">
        <v>449</v>
      </c>
      <c r="G22" t="s">
        <v>212</v>
      </c>
      <c r="H22" s="284"/>
      <c r="I22" s="269"/>
      <c r="J22" s="284">
        <f>'Inputs by customer type'!J42</f>
        <v>84612.642341332583</v>
      </c>
      <c r="K22" s="284">
        <f>'Inputs by customer type'!K42</f>
        <v>0</v>
      </c>
      <c r="L22" s="284">
        <f>'Inputs by customer type'!L42</f>
        <v>2007.1508087950704</v>
      </c>
      <c r="M22" s="284">
        <f>'Inputs by customer type'!M42</f>
        <v>0</v>
      </c>
      <c r="N22" s="284">
        <f>'Inputs by customer type'!N42</f>
        <v>465.73936485136232</v>
      </c>
      <c r="O22" s="284">
        <f>'Inputs by customer type'!O42</f>
        <v>26.84503596609763</v>
      </c>
      <c r="P22" s="284">
        <f>'Inputs by customer type'!P42</f>
        <v>45.30709916235724</v>
      </c>
      <c r="Q22" s="284">
        <f>'Inputs by customer type'!Q42</f>
        <v>0</v>
      </c>
      <c r="R22" s="284">
        <f>'Inputs by customer type'!R42</f>
        <v>0</v>
      </c>
      <c r="S22" s="284">
        <f>'Inputs by customer type'!S42</f>
        <v>0</v>
      </c>
      <c r="T22" s="284">
        <f>'Inputs by customer type'!T42</f>
        <v>6.4768152573212072</v>
      </c>
      <c r="U22" s="284">
        <f>'Inputs by customer type'!U42</f>
        <v>0</v>
      </c>
      <c r="V22" s="284">
        <f>'Inputs by customer type'!V42</f>
        <v>0</v>
      </c>
      <c r="W22" s="284">
        <f>'Inputs by customer type'!W42</f>
        <v>0</v>
      </c>
      <c r="X22" s="284">
        <f>'Inputs by customer type'!X42</f>
        <v>0</v>
      </c>
      <c r="Y22" s="284">
        <f>'Inputs by customer type'!Y42</f>
        <v>0</v>
      </c>
      <c r="Z22" s="269"/>
      <c r="AA22" s="269"/>
    </row>
    <row r="23" spans="3:27" x14ac:dyDescent="0.25">
      <c r="C23" s="88"/>
      <c r="F23" s="37" t="s">
        <v>1031</v>
      </c>
      <c r="G23" s="37" t="s">
        <v>212</v>
      </c>
      <c r="H23" s="215"/>
      <c r="I23" s="37"/>
      <c r="J23" s="125">
        <f>'Inputs by customer type'!J47</f>
        <v>1071.1367416230769</v>
      </c>
      <c r="K23" s="125">
        <f>'Inputs by customer type'!K47</f>
        <v>0</v>
      </c>
      <c r="L23" s="125">
        <f>'Inputs by customer type'!L47</f>
        <v>1629.7491999315405</v>
      </c>
      <c r="M23" s="125">
        <f>'Inputs by customer type'!M47</f>
        <v>0</v>
      </c>
      <c r="N23" s="125">
        <f>'Inputs by customer type'!N47</f>
        <v>18.89666957410855</v>
      </c>
      <c r="O23" s="125">
        <f>'Inputs by customer type'!O47</f>
        <v>0</v>
      </c>
      <c r="P23" s="125">
        <f>'Inputs by customer type'!P47</f>
        <v>4.8777923316903999</v>
      </c>
      <c r="Q23" s="125">
        <f>'Inputs by customer type'!Q47</f>
        <v>0</v>
      </c>
      <c r="R23" s="125">
        <f>'Inputs by customer type'!R47</f>
        <v>0</v>
      </c>
      <c r="S23" s="125">
        <f>'Inputs by customer type'!S47</f>
        <v>0</v>
      </c>
      <c r="T23" s="125">
        <f>'Inputs by customer type'!T47</f>
        <v>0</v>
      </c>
      <c r="U23" s="125">
        <f>'Inputs by customer type'!U47</f>
        <v>0</v>
      </c>
      <c r="V23" s="125">
        <f>'Inputs by customer type'!V47</f>
        <v>0</v>
      </c>
      <c r="W23" s="125">
        <f>'Inputs by customer type'!W47</f>
        <v>0</v>
      </c>
      <c r="X23" s="125">
        <f>'Inputs by customer type'!X47</f>
        <v>0</v>
      </c>
      <c r="Y23" s="125">
        <f>'Inputs by customer type'!Y47</f>
        <v>0</v>
      </c>
    </row>
    <row r="24" spans="3:27" x14ac:dyDescent="0.25">
      <c r="C24" s="88"/>
      <c r="E24"/>
      <c r="J24" s="89"/>
      <c r="K24" s="89"/>
      <c r="L24" s="89"/>
      <c r="M24" s="89"/>
      <c r="N24" s="89"/>
      <c r="O24" s="89"/>
      <c r="P24" s="89"/>
      <c r="Q24" s="89"/>
      <c r="R24" s="89"/>
      <c r="S24" s="89"/>
      <c r="T24" s="89"/>
      <c r="U24" s="89"/>
      <c r="V24" s="89"/>
      <c r="W24" s="89"/>
      <c r="X24" s="89"/>
      <c r="Y24" s="89"/>
    </row>
    <row r="25" spans="3:27" x14ac:dyDescent="0.25">
      <c r="C25" s="88"/>
      <c r="E25" s="32" t="s">
        <v>1032</v>
      </c>
      <c r="J25" s="89"/>
      <c r="K25" s="89"/>
      <c r="L25" s="89"/>
      <c r="M25" s="89"/>
      <c r="N25" s="89"/>
      <c r="O25" s="89"/>
      <c r="P25" s="89"/>
      <c r="Q25" s="89"/>
      <c r="R25" s="89"/>
      <c r="S25" s="89"/>
      <c r="T25" s="89"/>
      <c r="U25" s="89"/>
      <c r="V25" s="89"/>
      <c r="W25" s="89"/>
      <c r="X25" s="89"/>
      <c r="Y25" s="89"/>
    </row>
    <row r="26" spans="3:27" x14ac:dyDescent="0.25">
      <c r="C26" s="88"/>
      <c r="E26"/>
      <c r="F26" s="23" t="s">
        <v>1033</v>
      </c>
      <c r="G26" s="23" t="s">
        <v>176</v>
      </c>
      <c r="H26" s="23"/>
      <c r="I26" s="23"/>
      <c r="J26" s="174">
        <f>'Fixed inputs'!J158</f>
        <v>1</v>
      </c>
      <c r="K26" s="174">
        <f>'Fixed inputs'!K158</f>
        <v>0</v>
      </c>
      <c r="L26" s="174">
        <f>'Fixed inputs'!L158</f>
        <v>0</v>
      </c>
      <c r="M26" s="174">
        <f>'Fixed inputs'!M158</f>
        <v>0</v>
      </c>
      <c r="N26" s="174">
        <f>'Fixed inputs'!N158</f>
        <v>0</v>
      </c>
      <c r="O26" s="174">
        <f>'Fixed inputs'!O158</f>
        <v>0</v>
      </c>
      <c r="P26" s="174">
        <f>'Fixed inputs'!P158</f>
        <v>0</v>
      </c>
      <c r="Q26" s="174">
        <f>'Fixed inputs'!Q158</f>
        <v>0</v>
      </c>
      <c r="R26" s="174">
        <f>'Fixed inputs'!R158</f>
        <v>0</v>
      </c>
      <c r="S26" s="174">
        <f>'Fixed inputs'!S158</f>
        <v>0</v>
      </c>
      <c r="T26" s="174">
        <f>'Fixed inputs'!T158</f>
        <v>0</v>
      </c>
      <c r="U26" s="174">
        <f>'Fixed inputs'!U158</f>
        <v>0</v>
      </c>
      <c r="V26" s="174">
        <f>'Fixed inputs'!V158</f>
        <v>0</v>
      </c>
      <c r="W26" s="174">
        <f>'Fixed inputs'!W158</f>
        <v>0</v>
      </c>
      <c r="X26" s="174">
        <f>'Fixed inputs'!X158</f>
        <v>0</v>
      </c>
      <c r="Y26" s="174">
        <f>'Fixed inputs'!Y158</f>
        <v>0</v>
      </c>
    </row>
    <row r="27" spans="3:27" x14ac:dyDescent="0.25">
      <c r="C27" s="88"/>
      <c r="E27"/>
      <c r="F27" s="37" t="s">
        <v>1034</v>
      </c>
      <c r="G27" s="37" t="s">
        <v>176</v>
      </c>
      <c r="H27" s="37"/>
      <c r="I27" s="37"/>
      <c r="J27" s="215">
        <f>'Fixed inputs'!J159</f>
        <v>1</v>
      </c>
      <c r="K27" s="215">
        <f>'Fixed inputs'!K159</f>
        <v>0</v>
      </c>
      <c r="L27" s="215">
        <f>'Fixed inputs'!L159</f>
        <v>1</v>
      </c>
      <c r="M27" s="215">
        <f>'Fixed inputs'!M159</f>
        <v>0</v>
      </c>
      <c r="N27" s="215">
        <f>'Fixed inputs'!N159</f>
        <v>1</v>
      </c>
      <c r="O27" s="215">
        <f>'Fixed inputs'!O159</f>
        <v>1</v>
      </c>
      <c r="P27" s="215">
        <f>'Fixed inputs'!P159</f>
        <v>1</v>
      </c>
      <c r="Q27" s="215">
        <f>'Fixed inputs'!Q159</f>
        <v>0</v>
      </c>
      <c r="R27" s="215">
        <f>'Fixed inputs'!R159</f>
        <v>0</v>
      </c>
      <c r="S27" s="215">
        <f>'Fixed inputs'!S159</f>
        <v>0</v>
      </c>
      <c r="T27" s="215">
        <f>'Fixed inputs'!T159</f>
        <v>0</v>
      </c>
      <c r="U27" s="215">
        <f>'Fixed inputs'!U159</f>
        <v>0</v>
      </c>
      <c r="V27" s="215">
        <f>'Fixed inputs'!V159</f>
        <v>0</v>
      </c>
      <c r="W27" s="215">
        <f>'Fixed inputs'!W159</f>
        <v>0</v>
      </c>
      <c r="X27" s="215">
        <f>'Fixed inputs'!X159</f>
        <v>0</v>
      </c>
      <c r="Y27" s="215">
        <f>'Fixed inputs'!Y159</f>
        <v>0</v>
      </c>
    </row>
    <row r="28" spans="3:27" x14ac:dyDescent="0.25">
      <c r="C28" s="88"/>
      <c r="E28"/>
      <c r="J28" s="89"/>
      <c r="K28" s="89"/>
      <c r="L28" s="89"/>
      <c r="M28" s="89"/>
      <c r="N28" s="89"/>
      <c r="O28" s="89"/>
      <c r="P28" s="89"/>
      <c r="Q28" s="89"/>
      <c r="R28" s="89"/>
      <c r="S28" s="89"/>
      <c r="T28" s="89"/>
      <c r="U28" s="89"/>
      <c r="V28" s="89"/>
      <c r="W28" s="89"/>
      <c r="X28" s="89"/>
      <c r="Y28" s="89"/>
    </row>
    <row r="29" spans="3:27" x14ac:dyDescent="0.25">
      <c r="C29" s="88"/>
      <c r="E29" s="32" t="s">
        <v>1035</v>
      </c>
      <c r="J29" s="89"/>
      <c r="K29" s="89"/>
      <c r="L29" s="89"/>
      <c r="M29" s="89"/>
      <c r="N29" s="89"/>
      <c r="O29" s="89"/>
      <c r="P29" s="89"/>
      <c r="Q29" s="89"/>
      <c r="R29" s="89"/>
      <c r="S29" s="89"/>
      <c r="T29" s="89"/>
      <c r="U29" s="89"/>
      <c r="V29" s="89"/>
      <c r="W29" s="89"/>
      <c r="X29" s="89"/>
      <c r="Y29" s="89"/>
    </row>
    <row r="30" spans="3:27" x14ac:dyDescent="0.25">
      <c r="C30" s="88"/>
      <c r="E30"/>
      <c r="F30" s="23" t="s">
        <v>1033</v>
      </c>
      <c r="G30" s="23" t="s">
        <v>277</v>
      </c>
      <c r="H30" s="124">
        <f>'General inputs'!H53</f>
        <v>82980.666962912685</v>
      </c>
      <c r="J30" s="120"/>
      <c r="K30" s="120"/>
      <c r="L30" s="120"/>
      <c r="M30" s="120"/>
      <c r="N30" s="120"/>
      <c r="O30" s="120"/>
      <c r="P30" s="120"/>
      <c r="Q30" s="120"/>
      <c r="R30" s="120"/>
      <c r="S30" s="120"/>
      <c r="T30" s="120"/>
      <c r="U30" s="120"/>
      <c r="V30" s="120"/>
      <c r="W30" s="120"/>
      <c r="X30" s="120"/>
      <c r="Y30" s="120"/>
    </row>
    <row r="31" spans="3:27" x14ac:dyDescent="0.25">
      <c r="C31" s="88"/>
      <c r="E31"/>
      <c r="F31" s="37" t="s">
        <v>1034</v>
      </c>
      <c r="G31" s="37" t="s">
        <v>277</v>
      </c>
      <c r="H31" s="125">
        <f>'General inputs'!H54</f>
        <v>1612387.7200664035</v>
      </c>
      <c r="J31" s="120"/>
      <c r="K31" s="120"/>
      <c r="L31" s="120"/>
      <c r="M31" s="120"/>
      <c r="N31" s="120"/>
      <c r="O31" s="120"/>
      <c r="P31" s="120"/>
      <c r="Q31" s="120"/>
      <c r="R31" s="120"/>
      <c r="S31" s="120"/>
      <c r="T31" s="120"/>
      <c r="U31" s="120"/>
      <c r="V31" s="120"/>
      <c r="W31" s="120"/>
      <c r="X31" s="120"/>
      <c r="Y31" s="120"/>
    </row>
    <row r="33" spans="3:27" x14ac:dyDescent="0.25">
      <c r="C33" s="31" t="str">
        <f ca="1">INDEX('Version control'!$H$34:$H$58,MATCH($A$1,'Version control'!$F$34:$F$58,0),1)&amp;"-B: Calculation of fixed tariff adjustments"</f>
        <v>Section 116-B: Calculation of fixed tariff adjustments</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3:27" x14ac:dyDescent="0.25">
      <c r="C34" s="88"/>
      <c r="E34"/>
      <c r="J34" s="89"/>
      <c r="K34" s="89"/>
      <c r="L34" s="89"/>
      <c r="M34" s="89"/>
      <c r="N34" s="89"/>
      <c r="O34" s="89"/>
      <c r="P34" s="89"/>
      <c r="Q34" s="89"/>
      <c r="R34" s="89"/>
      <c r="S34" s="89"/>
      <c r="T34" s="89"/>
      <c r="U34" s="89"/>
      <c r="V34" s="89"/>
      <c r="W34" s="89"/>
      <c r="X34" s="89"/>
      <c r="Y34" s="89"/>
    </row>
    <row r="35" spans="3:27" x14ac:dyDescent="0.25">
      <c r="C35" s="88"/>
      <c r="E35" s="32" t="s">
        <v>1036</v>
      </c>
      <c r="J35" s="89"/>
      <c r="K35" s="89"/>
      <c r="L35" s="89"/>
      <c r="M35" s="89"/>
      <c r="N35" s="89"/>
      <c r="O35" s="89"/>
      <c r="P35" s="89"/>
      <c r="Q35" s="89"/>
      <c r="R35" s="89"/>
      <c r="S35" s="89"/>
      <c r="T35" s="89"/>
      <c r="U35" s="89"/>
      <c r="V35" s="89"/>
      <c r="W35" s="89"/>
      <c r="X35" s="89"/>
      <c r="Y35" s="89"/>
    </row>
    <row r="36" spans="3:27" x14ac:dyDescent="0.25">
      <c r="F36" s="23" t="s">
        <v>1033</v>
      </c>
      <c r="G36" s="23" t="s">
        <v>212</v>
      </c>
      <c r="H36" s="23"/>
      <c r="I36" s="23"/>
      <c r="J36" s="158">
        <f>SUM( J$20:J$23 ) * J26</f>
        <v>2600948.2140278802</v>
      </c>
      <c r="K36" s="158">
        <f t="shared" ref="K36:Y36" si="0">SUM( K$20:K$23 ) * K26</f>
        <v>0</v>
      </c>
      <c r="L36" s="158">
        <f t="shared" si="0"/>
        <v>0</v>
      </c>
      <c r="M36" s="158">
        <f t="shared" si="0"/>
        <v>0</v>
      </c>
      <c r="N36" s="158">
        <f t="shared" si="0"/>
        <v>0</v>
      </c>
      <c r="O36" s="158">
        <f t="shared" si="0"/>
        <v>0</v>
      </c>
      <c r="P36" s="158">
        <f t="shared" si="0"/>
        <v>0</v>
      </c>
      <c r="Q36" s="158">
        <f t="shared" si="0"/>
        <v>0</v>
      </c>
      <c r="R36" s="158">
        <f t="shared" si="0"/>
        <v>0</v>
      </c>
      <c r="S36" s="158">
        <f t="shared" si="0"/>
        <v>0</v>
      </c>
      <c r="T36" s="158">
        <f t="shared" si="0"/>
        <v>0</v>
      </c>
      <c r="U36" s="158">
        <f t="shared" si="0"/>
        <v>0</v>
      </c>
      <c r="V36" s="158">
        <f t="shared" si="0"/>
        <v>0</v>
      </c>
      <c r="W36" s="158">
        <f t="shared" si="0"/>
        <v>0</v>
      </c>
      <c r="X36" s="158">
        <f t="shared" si="0"/>
        <v>0</v>
      </c>
      <c r="Y36" s="158">
        <f t="shared" si="0"/>
        <v>0</v>
      </c>
    </row>
    <row r="37" spans="3:27" x14ac:dyDescent="0.25">
      <c r="F37" s="37" t="s">
        <v>1034</v>
      </c>
      <c r="G37" s="37" t="s">
        <v>212</v>
      </c>
      <c r="H37" s="37"/>
      <c r="I37" s="37"/>
      <c r="J37" s="82">
        <f t="shared" ref="J37:Y37" si="1">SUM( J$20:J$23 ) * J27</f>
        <v>2600948.2140278802</v>
      </c>
      <c r="K37" s="82">
        <f t="shared" si="1"/>
        <v>0</v>
      </c>
      <c r="L37" s="82">
        <f t="shared" si="1"/>
        <v>189882.10052045871</v>
      </c>
      <c r="M37" s="82">
        <f t="shared" si="1"/>
        <v>0</v>
      </c>
      <c r="N37" s="82">
        <f t="shared" si="1"/>
        <v>15897.216815000218</v>
      </c>
      <c r="O37" s="82">
        <f t="shared" si="1"/>
        <v>486.1204662334647</v>
      </c>
      <c r="P37" s="82">
        <f t="shared" si="1"/>
        <v>3404.5605123207924</v>
      </c>
      <c r="Q37" s="82">
        <f t="shared" si="1"/>
        <v>0</v>
      </c>
      <c r="R37" s="82">
        <f t="shared" si="1"/>
        <v>0</v>
      </c>
      <c r="S37" s="82">
        <f t="shared" si="1"/>
        <v>0</v>
      </c>
      <c r="T37" s="82">
        <f t="shared" si="1"/>
        <v>0</v>
      </c>
      <c r="U37" s="82">
        <f t="shared" si="1"/>
        <v>0</v>
      </c>
      <c r="V37" s="82">
        <f t="shared" si="1"/>
        <v>0</v>
      </c>
      <c r="W37" s="82">
        <f t="shared" si="1"/>
        <v>0</v>
      </c>
      <c r="X37" s="82">
        <f t="shared" si="1"/>
        <v>0</v>
      </c>
      <c r="Y37" s="82">
        <f t="shared" si="1"/>
        <v>0</v>
      </c>
    </row>
    <row r="38" spans="3:27" x14ac:dyDescent="0.25">
      <c r="C38" s="88"/>
      <c r="E38"/>
      <c r="J38" s="89"/>
      <c r="K38" s="89"/>
      <c r="L38" s="89"/>
      <c r="M38" s="89"/>
      <c r="N38" s="89"/>
      <c r="O38" s="89"/>
      <c r="P38" s="89"/>
      <c r="Q38" s="89"/>
      <c r="R38" s="89"/>
      <c r="S38" s="89"/>
      <c r="T38" s="89"/>
      <c r="U38" s="89"/>
      <c r="V38" s="89"/>
      <c r="W38" s="89"/>
      <c r="X38" s="89"/>
      <c r="Y38" s="89"/>
    </row>
    <row r="39" spans="3:27" x14ac:dyDescent="0.25">
      <c r="C39" s="88"/>
      <c r="E39" s="32" t="s">
        <v>1037</v>
      </c>
      <c r="I39" t="s">
        <v>154</v>
      </c>
      <c r="J39" s="89"/>
      <c r="K39" s="89"/>
      <c r="L39" s="89"/>
      <c r="M39" s="89"/>
      <c r="N39" s="89"/>
      <c r="O39" s="89"/>
      <c r="P39" s="89"/>
      <c r="Q39" s="89"/>
      <c r="R39" s="89"/>
      <c r="S39" s="89"/>
      <c r="T39" s="89"/>
      <c r="U39" s="89"/>
      <c r="V39" s="89"/>
      <c r="W39" s="89"/>
      <c r="X39" s="89"/>
      <c r="Y39" s="89"/>
      <c r="AA39" t="s">
        <v>1073</v>
      </c>
    </row>
    <row r="40" spans="3:27" x14ac:dyDescent="0.25">
      <c r="C40" s="88"/>
      <c r="E40"/>
      <c r="F40" s="23" t="s">
        <v>1033</v>
      </c>
      <c r="G40" s="23" t="s">
        <v>270</v>
      </c>
      <c r="H40" s="332">
        <f>H30 / SUM( J36:Y36 ) * hundred / days_in_year</f>
        <v>8.740823512860563E-3</v>
      </c>
      <c r="I40" s="14"/>
      <c r="J40" s="194"/>
      <c r="K40" s="194"/>
      <c r="L40" s="194"/>
      <c r="M40" s="194"/>
      <c r="N40" s="194"/>
      <c r="O40" s="194"/>
      <c r="P40" s="194"/>
      <c r="Q40" s="194"/>
      <c r="R40" s="194"/>
      <c r="S40" s="194"/>
      <c r="T40" s="194"/>
      <c r="U40" s="194"/>
      <c r="V40" s="194"/>
      <c r="W40" s="194"/>
      <c r="X40" s="194"/>
      <c r="Y40" s="194"/>
    </row>
    <row r="41" spans="3:27" x14ac:dyDescent="0.25">
      <c r="C41" s="88"/>
      <c r="E41"/>
      <c r="F41" s="37" t="s">
        <v>1034</v>
      </c>
      <c r="G41" s="37" t="s">
        <v>270</v>
      </c>
      <c r="H41" s="333">
        <f>H31 / SUM( J37:Y37 ) * hundred / days_in_year</f>
        <v>0.15717184865321343</v>
      </c>
      <c r="I41" s="14"/>
      <c r="J41" s="194"/>
      <c r="K41" s="194"/>
      <c r="L41" s="194"/>
      <c r="M41" s="194"/>
      <c r="N41" s="194"/>
      <c r="O41" s="194"/>
      <c r="P41" s="194"/>
      <c r="Q41" s="194"/>
      <c r="R41" s="194"/>
      <c r="S41" s="194"/>
      <c r="T41" s="194"/>
      <c r="U41" s="194"/>
      <c r="V41" s="194"/>
      <c r="W41" s="194"/>
      <c r="X41" s="194"/>
      <c r="Y41" s="194"/>
    </row>
    <row r="42" spans="3:27" x14ac:dyDescent="0.25">
      <c r="C42" s="88"/>
      <c r="E42"/>
      <c r="H42" s="14"/>
      <c r="I42" s="14"/>
      <c r="J42" s="163"/>
      <c r="K42" s="163"/>
      <c r="L42" s="163"/>
      <c r="M42" s="163"/>
      <c r="N42" s="163"/>
      <c r="O42" s="163"/>
      <c r="P42" s="163"/>
      <c r="Q42" s="163"/>
      <c r="R42" s="163"/>
      <c r="S42" s="163"/>
      <c r="T42" s="163"/>
      <c r="U42" s="163"/>
      <c r="V42" s="163"/>
      <c r="W42" s="163"/>
      <c r="X42" s="163"/>
      <c r="Y42" s="163"/>
    </row>
    <row r="43" spans="3:27" x14ac:dyDescent="0.25">
      <c r="C43" s="88"/>
      <c r="E43" s="32" t="s">
        <v>1038</v>
      </c>
      <c r="H43" s="14"/>
      <c r="I43" s="14"/>
      <c r="J43" s="163"/>
      <c r="K43" s="163"/>
      <c r="L43" s="163"/>
      <c r="M43" s="163"/>
      <c r="N43" s="163"/>
      <c r="O43" s="163"/>
      <c r="P43" s="163"/>
      <c r="Q43" s="163"/>
      <c r="R43" s="163"/>
      <c r="S43" s="163"/>
      <c r="T43" s="163"/>
      <c r="U43" s="163"/>
      <c r="V43" s="163"/>
      <c r="W43" s="163"/>
      <c r="X43" s="163"/>
      <c r="Y43" s="163"/>
    </row>
    <row r="44" spans="3:27" x14ac:dyDescent="0.25">
      <c r="C44" s="88"/>
      <c r="E44"/>
      <c r="F44" s="23" t="s">
        <v>1033</v>
      </c>
      <c r="G44" s="23" t="s">
        <v>270</v>
      </c>
      <c r="H44" s="332"/>
      <c r="I44" s="332"/>
      <c r="J44" s="332">
        <f>IF( J26 = 1, $H40, 0)</f>
        <v>8.740823512860563E-3</v>
      </c>
      <c r="K44" s="332">
        <f t="shared" ref="K44:Y44" si="2">IF( K26 = 1, $H40, 0)</f>
        <v>0</v>
      </c>
      <c r="L44" s="332">
        <f t="shared" si="2"/>
        <v>0</v>
      </c>
      <c r="M44" s="332">
        <f t="shared" si="2"/>
        <v>0</v>
      </c>
      <c r="N44" s="332">
        <f t="shared" si="2"/>
        <v>0</v>
      </c>
      <c r="O44" s="332">
        <f t="shared" si="2"/>
        <v>0</v>
      </c>
      <c r="P44" s="332">
        <f t="shared" si="2"/>
        <v>0</v>
      </c>
      <c r="Q44" s="332">
        <f t="shared" si="2"/>
        <v>0</v>
      </c>
      <c r="R44" s="332">
        <f t="shared" si="2"/>
        <v>0</v>
      </c>
      <c r="S44" s="332">
        <f t="shared" si="2"/>
        <v>0</v>
      </c>
      <c r="T44" s="332">
        <f t="shared" si="2"/>
        <v>0</v>
      </c>
      <c r="U44" s="332">
        <f t="shared" si="2"/>
        <v>0</v>
      </c>
      <c r="V44" s="332">
        <f t="shared" si="2"/>
        <v>0</v>
      </c>
      <c r="W44" s="332">
        <f t="shared" si="2"/>
        <v>0</v>
      </c>
      <c r="X44" s="332">
        <f t="shared" si="2"/>
        <v>0</v>
      </c>
      <c r="Y44" s="332">
        <f t="shared" si="2"/>
        <v>0</v>
      </c>
    </row>
    <row r="45" spans="3:27" x14ac:dyDescent="0.25">
      <c r="C45" s="88"/>
      <c r="E45"/>
      <c r="F45" s="37" t="s">
        <v>1034</v>
      </c>
      <c r="G45" s="37" t="s">
        <v>270</v>
      </c>
      <c r="H45" s="333"/>
      <c r="I45" s="333"/>
      <c r="J45" s="333">
        <f t="shared" ref="J45:Y45" si="3">IF( J27 = 1, $H41, 0)</f>
        <v>0.15717184865321343</v>
      </c>
      <c r="K45" s="333">
        <f t="shared" si="3"/>
        <v>0</v>
      </c>
      <c r="L45" s="333">
        <f t="shared" si="3"/>
        <v>0.15717184865321343</v>
      </c>
      <c r="M45" s="333">
        <f t="shared" si="3"/>
        <v>0</v>
      </c>
      <c r="N45" s="333">
        <f t="shared" si="3"/>
        <v>0.15717184865321343</v>
      </c>
      <c r="O45" s="333">
        <f t="shared" si="3"/>
        <v>0.15717184865321343</v>
      </c>
      <c r="P45" s="333">
        <f t="shared" si="3"/>
        <v>0.15717184865321343</v>
      </c>
      <c r="Q45" s="333">
        <f t="shared" si="3"/>
        <v>0</v>
      </c>
      <c r="R45" s="333">
        <f t="shared" si="3"/>
        <v>0</v>
      </c>
      <c r="S45" s="333">
        <f t="shared" si="3"/>
        <v>0</v>
      </c>
      <c r="T45" s="333">
        <f t="shared" si="3"/>
        <v>0</v>
      </c>
      <c r="U45" s="333">
        <f t="shared" si="3"/>
        <v>0</v>
      </c>
      <c r="V45" s="333">
        <f t="shared" si="3"/>
        <v>0</v>
      </c>
      <c r="W45" s="333">
        <f t="shared" si="3"/>
        <v>0</v>
      </c>
      <c r="X45" s="333">
        <f t="shared" si="3"/>
        <v>0</v>
      </c>
      <c r="Y45" s="333">
        <f t="shared" si="3"/>
        <v>0</v>
      </c>
    </row>
    <row r="46" spans="3:27" x14ac:dyDescent="0.25">
      <c r="C46" s="88"/>
      <c r="E46"/>
      <c r="F46" s="108" t="s">
        <v>545</v>
      </c>
      <c r="G46" s="108" t="s">
        <v>270</v>
      </c>
      <c r="H46" s="220"/>
      <c r="I46" s="220"/>
      <c r="J46" s="334">
        <f xml:space="preserve"> J44 + J45</f>
        <v>0.165912672166074</v>
      </c>
      <c r="K46" s="334">
        <f t="shared" ref="K46:Y46" si="4" xml:space="preserve"> K44 + K45</f>
        <v>0</v>
      </c>
      <c r="L46" s="334">
        <f t="shared" si="4"/>
        <v>0.15717184865321343</v>
      </c>
      <c r="M46" s="334">
        <f t="shared" si="4"/>
        <v>0</v>
      </c>
      <c r="N46" s="334">
        <f t="shared" si="4"/>
        <v>0.15717184865321343</v>
      </c>
      <c r="O46" s="334">
        <f t="shared" si="4"/>
        <v>0.15717184865321343</v>
      </c>
      <c r="P46" s="334">
        <f t="shared" si="4"/>
        <v>0.15717184865321343</v>
      </c>
      <c r="Q46" s="334">
        <f t="shared" si="4"/>
        <v>0</v>
      </c>
      <c r="R46" s="334">
        <f t="shared" si="4"/>
        <v>0</v>
      </c>
      <c r="S46" s="334">
        <f t="shared" si="4"/>
        <v>0</v>
      </c>
      <c r="T46" s="334">
        <f t="shared" si="4"/>
        <v>0</v>
      </c>
      <c r="U46" s="334">
        <f t="shared" si="4"/>
        <v>0</v>
      </c>
      <c r="V46" s="334">
        <f t="shared" si="4"/>
        <v>0</v>
      </c>
      <c r="W46" s="334">
        <f t="shared" si="4"/>
        <v>0</v>
      </c>
      <c r="X46" s="334">
        <f t="shared" si="4"/>
        <v>0</v>
      </c>
      <c r="Y46" s="334">
        <f t="shared" si="4"/>
        <v>0</v>
      </c>
    </row>
    <row r="47" spans="3:27" x14ac:dyDescent="0.25">
      <c r="C47" s="88"/>
      <c r="H47" s="14"/>
      <c r="I47" s="14"/>
      <c r="J47" s="14"/>
      <c r="K47" s="14"/>
      <c r="L47" s="14"/>
      <c r="M47" s="14"/>
      <c r="N47" s="14"/>
      <c r="O47" s="14"/>
      <c r="P47" s="14"/>
      <c r="Q47" s="14"/>
      <c r="R47" s="14"/>
      <c r="S47" s="14"/>
      <c r="T47" s="14"/>
      <c r="U47" s="14"/>
      <c r="V47" s="14"/>
      <c r="W47" s="14"/>
      <c r="X47" s="14"/>
      <c r="Y47" s="14"/>
    </row>
    <row r="48" spans="3:27" x14ac:dyDescent="0.25">
      <c r="C48" s="31" t="str">
        <f ca="1">INDEX('Version control'!$H$34:$H$58,MATCH($A$1,'Version control'!$F$34:$F$58,0),1)&amp;"-C: Calculation of fixed charge adder revenue"</f>
        <v>Section 116-C: Calculation of fixed charge adder revenue</v>
      </c>
      <c r="D48" s="31"/>
      <c r="E48" s="31"/>
      <c r="F48" s="31"/>
      <c r="G48" s="31"/>
      <c r="H48" s="31"/>
      <c r="I48" s="31"/>
      <c r="J48" s="31"/>
      <c r="K48" s="31"/>
      <c r="L48" s="31"/>
      <c r="M48" s="31"/>
      <c r="N48" s="31"/>
      <c r="O48" s="31"/>
      <c r="P48" s="31"/>
      <c r="Q48" s="31"/>
      <c r="R48" s="31"/>
      <c r="S48" s="31"/>
      <c r="T48" s="31"/>
      <c r="U48" s="31"/>
      <c r="V48" s="31"/>
      <c r="W48" s="31"/>
      <c r="X48" s="31"/>
      <c r="Y48" s="31"/>
      <c r="Z48" s="31"/>
      <c r="AA48" s="31"/>
    </row>
    <row r="49" spans="2:27" x14ac:dyDescent="0.25">
      <c r="C49" s="88"/>
      <c r="E49"/>
      <c r="J49" s="89"/>
      <c r="K49" s="89"/>
      <c r="L49" s="89"/>
      <c r="M49" s="89"/>
      <c r="N49" s="89"/>
      <c r="O49" s="89"/>
      <c r="P49" s="89"/>
      <c r="Q49" s="89"/>
      <c r="R49" s="89"/>
      <c r="S49" s="89"/>
      <c r="T49" s="89"/>
      <c r="U49" s="89"/>
      <c r="V49" s="89"/>
      <c r="W49" s="89"/>
      <c r="X49" s="89"/>
      <c r="Y49" s="89"/>
    </row>
    <row r="50" spans="2:27" x14ac:dyDescent="0.25">
      <c r="E50" t="s">
        <v>1039</v>
      </c>
      <c r="G50" s="6" t="s">
        <v>277</v>
      </c>
      <c r="H50" s="219"/>
      <c r="I50" s="14"/>
      <c r="J50" s="219">
        <f t="shared" ref="J50:Y50" si="5">J46 / hundred * days_in_year * SUM( J20:J22 )</f>
        <v>1574436.8191649816</v>
      </c>
      <c r="K50" s="219">
        <f t="shared" si="5"/>
        <v>0</v>
      </c>
      <c r="L50" s="219">
        <f t="shared" si="5"/>
        <v>107996.09075681935</v>
      </c>
      <c r="M50" s="219">
        <f t="shared" si="5"/>
        <v>0</v>
      </c>
      <c r="N50" s="219">
        <f t="shared" si="5"/>
        <v>9109.0309972892665</v>
      </c>
      <c r="O50" s="219">
        <f t="shared" si="5"/>
        <v>278.8762510631762</v>
      </c>
      <c r="P50" s="219">
        <f t="shared" si="5"/>
        <v>1950.3206254630136</v>
      </c>
      <c r="Q50" s="219">
        <f t="shared" si="5"/>
        <v>0</v>
      </c>
      <c r="R50" s="219">
        <f t="shared" si="5"/>
        <v>0</v>
      </c>
      <c r="S50" s="219">
        <f t="shared" si="5"/>
        <v>0</v>
      </c>
      <c r="T50" s="219">
        <f t="shared" si="5"/>
        <v>0</v>
      </c>
      <c r="U50" s="219">
        <f t="shared" si="5"/>
        <v>0</v>
      </c>
      <c r="V50" s="219">
        <f t="shared" si="5"/>
        <v>0</v>
      </c>
      <c r="W50" s="219">
        <f t="shared" si="5"/>
        <v>0</v>
      </c>
      <c r="X50" s="219">
        <f t="shared" si="5"/>
        <v>0</v>
      </c>
      <c r="Y50" s="219">
        <f t="shared" si="5"/>
        <v>0</v>
      </c>
    </row>
    <row r="51" spans="2:27" x14ac:dyDescent="0.25">
      <c r="H51" s="14"/>
      <c r="I51" s="14"/>
      <c r="J51" s="14"/>
      <c r="K51" s="14"/>
      <c r="L51" s="14"/>
      <c r="M51" s="14"/>
      <c r="N51" s="14"/>
      <c r="O51" s="14"/>
      <c r="P51" s="14"/>
      <c r="Q51" s="14"/>
      <c r="R51" s="14"/>
      <c r="S51" s="14"/>
      <c r="T51" s="14"/>
      <c r="U51" s="14"/>
      <c r="V51" s="14"/>
      <c r="W51" s="14"/>
      <c r="X51" s="14"/>
      <c r="Y51" s="14"/>
    </row>
    <row r="52" spans="2:27" x14ac:dyDescent="0.25">
      <c r="E52" t="s">
        <v>1040</v>
      </c>
      <c r="G52" s="6" t="s">
        <v>277</v>
      </c>
      <c r="H52" s="199">
        <f>SUM( J50:Y50 )</f>
        <v>1693771.1377956164</v>
      </c>
      <c r="I52" s="14"/>
      <c r="J52" s="14"/>
      <c r="K52" s="14"/>
      <c r="L52" s="14"/>
      <c r="M52" s="14"/>
      <c r="N52" s="14"/>
      <c r="O52" s="14"/>
      <c r="P52" s="14"/>
      <c r="Q52" s="14"/>
      <c r="R52" s="14"/>
      <c r="S52" s="14"/>
      <c r="T52" s="14"/>
      <c r="U52" s="14"/>
      <c r="V52" s="14"/>
      <c r="W52" s="14"/>
      <c r="X52" s="14"/>
      <c r="Y52" s="14"/>
    </row>
    <row r="53" spans="2:27" x14ac:dyDescent="0.25">
      <c r="H53" s="14"/>
      <c r="I53" s="14"/>
      <c r="J53" s="14"/>
      <c r="K53" s="14"/>
      <c r="L53" s="14"/>
      <c r="M53" s="14"/>
      <c r="N53" s="14"/>
      <c r="O53" s="14"/>
      <c r="P53" s="14"/>
      <c r="Q53" s="14"/>
      <c r="R53" s="14"/>
      <c r="S53" s="14"/>
      <c r="T53" s="14"/>
      <c r="U53" s="14"/>
      <c r="V53" s="14"/>
      <c r="W53" s="14"/>
      <c r="X53" s="14"/>
      <c r="Y53" s="14"/>
    </row>
    <row r="54" spans="2:27" x14ac:dyDescent="0.25">
      <c r="E54" t="s">
        <v>1041</v>
      </c>
      <c r="G54" s="6" t="s">
        <v>277</v>
      </c>
      <c r="H54" s="219"/>
      <c r="I54" s="14"/>
      <c r="J54" s="219">
        <f t="shared" ref="J54:Y54" si="6">J46 / hundred * days_in_year * J23</f>
        <v>648.66033056150388</v>
      </c>
      <c r="K54" s="219">
        <f t="shared" si="6"/>
        <v>0</v>
      </c>
      <c r="L54" s="219">
        <f t="shared" si="6"/>
        <v>934.95003526932567</v>
      </c>
      <c r="M54" s="219">
        <f t="shared" si="6"/>
        <v>0</v>
      </c>
      <c r="N54" s="219">
        <f t="shared" si="6"/>
        <v>10.84058938978324</v>
      </c>
      <c r="O54" s="219">
        <f t="shared" si="6"/>
        <v>0</v>
      </c>
      <c r="P54" s="219">
        <f t="shared" si="6"/>
        <v>2.798278479131608</v>
      </c>
      <c r="Q54" s="219">
        <f t="shared" si="6"/>
        <v>0</v>
      </c>
      <c r="R54" s="219">
        <f t="shared" si="6"/>
        <v>0</v>
      </c>
      <c r="S54" s="219">
        <f t="shared" si="6"/>
        <v>0</v>
      </c>
      <c r="T54" s="219">
        <f t="shared" si="6"/>
        <v>0</v>
      </c>
      <c r="U54" s="219">
        <f t="shared" si="6"/>
        <v>0</v>
      </c>
      <c r="V54" s="219">
        <f t="shared" si="6"/>
        <v>0</v>
      </c>
      <c r="W54" s="219">
        <f t="shared" si="6"/>
        <v>0</v>
      </c>
      <c r="X54" s="219">
        <f t="shared" si="6"/>
        <v>0</v>
      </c>
      <c r="Y54" s="219">
        <f t="shared" si="6"/>
        <v>0</v>
      </c>
    </row>
    <row r="55" spans="2:27" x14ac:dyDescent="0.25">
      <c r="H55" s="14"/>
      <c r="I55" s="14"/>
      <c r="J55" s="14"/>
      <c r="K55" s="14"/>
      <c r="L55" s="14"/>
      <c r="M55" s="14"/>
      <c r="N55" s="14"/>
      <c r="O55" s="14"/>
      <c r="P55" s="14"/>
      <c r="Q55" s="14"/>
      <c r="R55" s="14"/>
      <c r="S55" s="14"/>
      <c r="T55" s="14"/>
      <c r="U55" s="14"/>
      <c r="V55" s="14"/>
      <c r="W55" s="14"/>
      <c r="X55" s="14"/>
      <c r="Y55" s="14"/>
    </row>
    <row r="56" spans="2:27" x14ac:dyDescent="0.25">
      <c r="E56" t="s">
        <v>1042</v>
      </c>
      <c r="G56" s="6" t="s">
        <v>277</v>
      </c>
      <c r="H56" s="199">
        <f>SUM( J54:Y54 )</f>
        <v>1597.2492336997443</v>
      </c>
      <c r="I56" s="14"/>
      <c r="J56" s="14"/>
      <c r="K56" s="14"/>
      <c r="L56" s="14"/>
      <c r="M56" s="14"/>
      <c r="N56" s="14"/>
      <c r="O56" s="14"/>
      <c r="P56" s="14"/>
      <c r="Q56" s="14"/>
      <c r="R56" s="14"/>
      <c r="S56" s="14"/>
      <c r="T56" s="14"/>
      <c r="U56" s="14"/>
      <c r="V56" s="14"/>
      <c r="W56" s="14"/>
      <c r="X56" s="14"/>
      <c r="Y56" s="14"/>
    </row>
    <row r="57" spans="2:27" x14ac:dyDescent="0.25">
      <c r="H57" s="14"/>
      <c r="I57" s="14"/>
      <c r="J57" s="14"/>
      <c r="K57" s="14"/>
      <c r="L57" s="14"/>
      <c r="M57" s="14"/>
      <c r="N57" s="14"/>
      <c r="O57" s="14"/>
      <c r="P57" s="14"/>
      <c r="Q57" s="14"/>
      <c r="R57" s="14"/>
      <c r="S57" s="14"/>
      <c r="T57" s="14"/>
      <c r="U57" s="14"/>
      <c r="V57" s="14"/>
      <c r="W57" s="14"/>
      <c r="X57" s="14"/>
      <c r="Y57" s="14"/>
    </row>
    <row r="58" spans="2:27" x14ac:dyDescent="0.25">
      <c r="B58" s="30" t="s">
        <v>231</v>
      </c>
      <c r="C58" s="30"/>
      <c r="D58" s="30"/>
      <c r="E58" s="30"/>
      <c r="F58" s="30"/>
      <c r="G58" s="30"/>
      <c r="H58" s="200"/>
      <c r="I58" s="200"/>
      <c r="J58" s="200"/>
      <c r="K58" s="200"/>
      <c r="L58" s="200"/>
      <c r="M58" s="200"/>
      <c r="N58" s="200"/>
      <c r="O58" s="200"/>
      <c r="P58" s="200"/>
      <c r="Q58" s="200"/>
      <c r="R58" s="200"/>
      <c r="S58" s="200"/>
      <c r="T58" s="200"/>
      <c r="U58" s="200"/>
      <c r="V58" s="200"/>
      <c r="W58" s="200"/>
      <c r="X58" s="200"/>
      <c r="Y58" s="200"/>
      <c r="Z58" s="30"/>
      <c r="AA58" s="30"/>
    </row>
    <row r="59" spans="2:27" x14ac:dyDescent="0.25">
      <c r="H59" s="14"/>
      <c r="I59" s="14"/>
      <c r="J59" s="14"/>
      <c r="K59" s="14"/>
      <c r="L59" s="14"/>
      <c r="M59" s="14"/>
      <c r="N59" s="14"/>
      <c r="O59" s="14"/>
      <c r="P59" s="14"/>
      <c r="Q59" s="14"/>
      <c r="R59" s="14"/>
      <c r="S59" s="14"/>
      <c r="T59" s="14"/>
      <c r="U59" s="14"/>
      <c r="V59" s="14"/>
      <c r="W59" s="14"/>
      <c r="X59" s="14"/>
      <c r="Y59" s="14"/>
    </row>
    <row r="60" spans="2:27" x14ac:dyDescent="0.25">
      <c r="E60" t="s">
        <v>1043</v>
      </c>
      <c r="G60" s="6" t="s">
        <v>277</v>
      </c>
      <c r="H60" s="219"/>
      <c r="I60" s="14"/>
      <c r="J60" s="219">
        <f xml:space="preserve"> J50 + J54</f>
        <v>1575085.4794955431</v>
      </c>
      <c r="K60" s="219">
        <f t="shared" ref="K60:Y60" si="7" xml:space="preserve"> K50 + K54</f>
        <v>0</v>
      </c>
      <c r="L60" s="219">
        <f t="shared" si="7"/>
        <v>108931.04079208868</v>
      </c>
      <c r="M60" s="219">
        <f t="shared" si="7"/>
        <v>0</v>
      </c>
      <c r="N60" s="219">
        <f t="shared" si="7"/>
        <v>9119.8715866790499</v>
      </c>
      <c r="O60" s="219">
        <f t="shared" si="7"/>
        <v>278.8762510631762</v>
      </c>
      <c r="P60" s="219">
        <f t="shared" si="7"/>
        <v>1953.1189039421452</v>
      </c>
      <c r="Q60" s="219">
        <f t="shared" si="7"/>
        <v>0</v>
      </c>
      <c r="R60" s="219">
        <f t="shared" si="7"/>
        <v>0</v>
      </c>
      <c r="S60" s="219">
        <f t="shared" si="7"/>
        <v>0</v>
      </c>
      <c r="T60" s="219">
        <f t="shared" si="7"/>
        <v>0</v>
      </c>
      <c r="U60" s="219">
        <f t="shared" si="7"/>
        <v>0</v>
      </c>
      <c r="V60" s="219">
        <f t="shared" si="7"/>
        <v>0</v>
      </c>
      <c r="W60" s="219">
        <f t="shared" si="7"/>
        <v>0</v>
      </c>
      <c r="X60" s="219">
        <f t="shared" si="7"/>
        <v>0</v>
      </c>
      <c r="Y60" s="219">
        <f t="shared" si="7"/>
        <v>0</v>
      </c>
    </row>
    <row r="61" spans="2:27" x14ac:dyDescent="0.25">
      <c r="H61" s="14"/>
      <c r="I61" s="14"/>
      <c r="J61" s="14"/>
      <c r="K61" s="14"/>
      <c r="L61" s="14"/>
      <c r="M61" s="14"/>
      <c r="N61" s="14"/>
      <c r="O61" s="14"/>
      <c r="P61" s="14"/>
      <c r="Q61" s="14"/>
      <c r="R61" s="14"/>
      <c r="S61" s="14"/>
      <c r="T61" s="14"/>
      <c r="U61" s="14"/>
      <c r="V61" s="14"/>
      <c r="W61" s="14"/>
      <c r="X61" s="14"/>
      <c r="Y61" s="14"/>
    </row>
    <row r="62" spans="2:27" x14ac:dyDescent="0.25">
      <c r="E62" t="s">
        <v>1044</v>
      </c>
      <c r="G62" s="6" t="s">
        <v>277</v>
      </c>
      <c r="H62" s="89">
        <f>SUM( J60:Y60 )</f>
        <v>1695368.387029316</v>
      </c>
      <c r="I62" s="14"/>
      <c r="J62" s="14"/>
      <c r="K62" s="14"/>
      <c r="L62" s="14"/>
      <c r="M62" s="14"/>
      <c r="N62" s="14"/>
      <c r="O62" s="14"/>
      <c r="P62" s="14"/>
      <c r="Q62" s="14"/>
      <c r="R62" s="14"/>
      <c r="S62" s="14"/>
      <c r="T62" s="14"/>
      <c r="U62" s="14"/>
      <c r="V62" s="14"/>
      <c r="W62" s="14"/>
      <c r="X62" s="14"/>
      <c r="Y62" s="14"/>
    </row>
    <row r="63" spans="2:27" x14ac:dyDescent="0.25">
      <c r="H63" s="14"/>
      <c r="I63" s="14"/>
      <c r="J63" s="14"/>
      <c r="K63" s="14"/>
      <c r="L63" s="14"/>
      <c r="M63" s="14"/>
      <c r="N63" s="14"/>
      <c r="O63" s="14"/>
      <c r="P63" s="14"/>
      <c r="Q63" s="14"/>
      <c r="R63" s="14"/>
      <c r="S63" s="14"/>
      <c r="T63" s="14"/>
      <c r="U63" s="14"/>
      <c r="V63" s="14"/>
      <c r="W63" s="14"/>
      <c r="X63" s="14"/>
      <c r="Y63" s="14"/>
    </row>
    <row r="64" spans="2:27" x14ac:dyDescent="0.25">
      <c r="E64" t="s">
        <v>1045</v>
      </c>
      <c r="G64" s="6" t="s">
        <v>55</v>
      </c>
      <c r="H64" s="201">
        <f>IF( ABS( IFERROR( H62, 0 ) - ( H30 + H31 ) ) &lt; 10^-check_decimals, 0, 1)</f>
        <v>0</v>
      </c>
      <c r="I64" s="14"/>
      <c r="J64" s="14"/>
      <c r="K64" s="14"/>
      <c r="L64" s="14"/>
      <c r="M64" s="14"/>
      <c r="N64" s="14"/>
      <c r="O64" s="14"/>
      <c r="P64" s="14"/>
      <c r="Q64" s="14"/>
      <c r="R64" s="14"/>
      <c r="S64" s="14"/>
      <c r="T64" s="14"/>
      <c r="U64" s="14"/>
      <c r="V64" s="14"/>
      <c r="W64" s="14"/>
      <c r="X64" s="14"/>
      <c r="Y64" s="14"/>
    </row>
    <row r="65" spans="2:27" x14ac:dyDescent="0.25">
      <c r="H65" s="14"/>
      <c r="I65" s="14"/>
      <c r="J65" s="14"/>
      <c r="K65" s="14"/>
      <c r="L65" s="14"/>
      <c r="M65" s="14"/>
      <c r="N65" s="14"/>
      <c r="O65" s="14"/>
      <c r="P65" s="14"/>
      <c r="Q65" s="14"/>
      <c r="R65" s="14"/>
      <c r="S65" s="14"/>
      <c r="T65" s="14"/>
      <c r="U65" s="14"/>
      <c r="V65" s="14"/>
      <c r="W65" s="14"/>
      <c r="X65" s="14"/>
      <c r="Y65" s="14"/>
    </row>
    <row r="66" spans="2:27" x14ac:dyDescent="0.25">
      <c r="E66" t="s">
        <v>232</v>
      </c>
      <c r="G66" s="6" t="s">
        <v>55</v>
      </c>
      <c r="H66" s="335">
        <f t="array" ref="H66">SUM( IF( ISERROR( H20:Y57 ), 1 )) + H64</f>
        <v>0</v>
      </c>
      <c r="I66" s="14"/>
      <c r="J66" s="14"/>
      <c r="K66" s="14"/>
      <c r="L66" s="14"/>
      <c r="M66" s="14"/>
      <c r="N66" s="14"/>
      <c r="O66" s="14"/>
      <c r="P66" s="14"/>
      <c r="Q66" s="14"/>
      <c r="R66" s="14"/>
      <c r="S66" s="14"/>
      <c r="T66" s="14"/>
      <c r="U66" s="14"/>
      <c r="V66" s="14"/>
      <c r="W66" s="14"/>
      <c r="X66" s="14"/>
      <c r="Y66" s="14"/>
    </row>
    <row r="67" spans="2:27" x14ac:dyDescent="0.25">
      <c r="H67" s="14"/>
      <c r="I67" s="14"/>
      <c r="J67" s="14"/>
      <c r="K67" s="14"/>
      <c r="L67" s="14"/>
      <c r="M67" s="14"/>
      <c r="N67" s="14"/>
      <c r="O67" s="14"/>
      <c r="P67" s="14"/>
      <c r="Q67" s="14"/>
      <c r="R67" s="14"/>
      <c r="S67" s="14"/>
      <c r="T67" s="14"/>
      <c r="U67" s="14"/>
      <c r="V67" s="14"/>
      <c r="W67" s="14"/>
      <c r="X67" s="14"/>
      <c r="Y67" s="14"/>
    </row>
    <row r="68" spans="2:27" x14ac:dyDescent="0.25">
      <c r="B68" s="30" t="s">
        <v>106</v>
      </c>
      <c r="C68" s="30"/>
      <c r="D68" s="30"/>
      <c r="E68" s="30"/>
      <c r="F68" s="30"/>
      <c r="G68" s="30"/>
      <c r="H68" s="200"/>
      <c r="I68" s="200"/>
      <c r="J68" s="200"/>
      <c r="K68" s="200"/>
      <c r="L68" s="200"/>
      <c r="M68" s="200"/>
      <c r="N68" s="200"/>
      <c r="O68" s="200"/>
      <c r="P68" s="200"/>
      <c r="Q68" s="200"/>
      <c r="R68" s="200"/>
      <c r="S68" s="200"/>
      <c r="T68" s="200"/>
      <c r="U68" s="200"/>
      <c r="V68" s="200"/>
      <c r="W68" s="200"/>
      <c r="X68" s="200"/>
      <c r="Y68" s="200"/>
      <c r="Z68" s="30"/>
      <c r="AA68" s="30"/>
    </row>
    <row r="69" spans="2:27" x14ac:dyDescent="0.25">
      <c r="H69" s="14"/>
      <c r="I69" s="14"/>
      <c r="J69" s="14"/>
      <c r="K69" s="14"/>
      <c r="L69" s="14"/>
      <c r="M69" s="14"/>
      <c r="N69" s="14"/>
      <c r="O69" s="14"/>
      <c r="P69" s="14"/>
      <c r="Q69" s="14"/>
      <c r="R69" s="14"/>
      <c r="S69" s="14"/>
      <c r="T69" s="14"/>
      <c r="U69" s="14"/>
      <c r="V69" s="14"/>
      <c r="W69" s="14"/>
      <c r="X69" s="14"/>
      <c r="Y69" s="14"/>
    </row>
    <row r="70" spans="2:27" x14ac:dyDescent="0.25">
      <c r="H70" s="14"/>
      <c r="I70" s="14"/>
      <c r="J70" s="14"/>
      <c r="K70" s="14"/>
      <c r="L70" s="14"/>
      <c r="M70" s="14"/>
      <c r="N70" s="14"/>
      <c r="O70" s="14"/>
      <c r="P70" s="14"/>
      <c r="Q70" s="14"/>
      <c r="R70" s="14"/>
      <c r="S70" s="14"/>
      <c r="T70" s="14"/>
      <c r="U70" s="14"/>
      <c r="V70" s="14"/>
      <c r="W70" s="14"/>
      <c r="X70" s="14"/>
      <c r="Y70" s="14"/>
    </row>
    <row r="71" spans="2:27" x14ac:dyDescent="0.25">
      <c r="H71" s="14"/>
      <c r="I71" s="14"/>
      <c r="J71" s="14"/>
      <c r="K71" s="14"/>
      <c r="L71" s="14"/>
      <c r="M71" s="14"/>
      <c r="N71" s="14"/>
      <c r="O71" s="14"/>
      <c r="P71" s="14"/>
      <c r="Q71" s="14"/>
      <c r="R71" s="14"/>
      <c r="S71" s="14"/>
      <c r="T71" s="14"/>
      <c r="U71" s="14"/>
      <c r="V71" s="14"/>
      <c r="W71" s="14"/>
      <c r="X71" s="14"/>
      <c r="Y71" s="14"/>
    </row>
    <row r="72" spans="2:27" x14ac:dyDescent="0.25">
      <c r="H72" s="14"/>
      <c r="I72" s="14"/>
      <c r="J72" s="14"/>
      <c r="K72" s="14"/>
      <c r="L72" s="14"/>
      <c r="M72" s="14"/>
      <c r="N72" s="14"/>
      <c r="O72" s="14"/>
      <c r="P72" s="14"/>
      <c r="Q72" s="14"/>
      <c r="R72" s="14"/>
      <c r="S72" s="14"/>
      <c r="T72" s="14"/>
      <c r="U72" s="14"/>
      <c r="V72" s="14"/>
      <c r="W72" s="14"/>
      <c r="X72" s="14"/>
      <c r="Y72" s="14"/>
    </row>
    <row r="73" spans="2:27" x14ac:dyDescent="0.25">
      <c r="H73" s="14"/>
      <c r="I73" s="14"/>
      <c r="J73" s="14"/>
      <c r="K73" s="14"/>
      <c r="L73" s="14"/>
      <c r="M73" s="14"/>
      <c r="N73" s="14"/>
      <c r="O73" s="14"/>
      <c r="P73" s="14"/>
      <c r="Q73" s="14"/>
      <c r="R73" s="14"/>
      <c r="S73" s="14"/>
      <c r="T73" s="14"/>
      <c r="U73" s="14"/>
      <c r="V73" s="14"/>
      <c r="W73" s="14"/>
      <c r="X73" s="14"/>
      <c r="Y73" s="14"/>
    </row>
    <row r="74" spans="2:27" x14ac:dyDescent="0.25">
      <c r="H74" s="14"/>
      <c r="I74" s="14"/>
      <c r="J74" s="14"/>
      <c r="K74" s="14"/>
      <c r="L74" s="14"/>
      <c r="M74" s="14"/>
      <c r="N74" s="14"/>
      <c r="O74" s="14"/>
      <c r="P74" s="14"/>
      <c r="Q74" s="14"/>
      <c r="R74" s="14"/>
      <c r="S74" s="14"/>
      <c r="T74" s="14"/>
      <c r="U74" s="14"/>
      <c r="V74" s="14"/>
      <c r="W74" s="14"/>
      <c r="X74" s="14"/>
      <c r="Y74" s="14"/>
    </row>
    <row r="75" spans="2:27" x14ac:dyDescent="0.25">
      <c r="H75" s="14"/>
      <c r="I75" s="14"/>
      <c r="J75" s="14"/>
      <c r="K75" s="14"/>
      <c r="L75" s="14"/>
      <c r="M75" s="14"/>
      <c r="N75" s="14"/>
      <c r="O75" s="14"/>
      <c r="P75" s="14"/>
      <c r="Q75" s="14"/>
      <c r="R75" s="14"/>
      <c r="S75" s="14"/>
      <c r="T75" s="14"/>
      <c r="U75" s="14"/>
      <c r="V75" s="14"/>
      <c r="W75" s="14"/>
      <c r="X75" s="14"/>
      <c r="Y75" s="14"/>
    </row>
    <row r="76" spans="2:27" x14ac:dyDescent="0.25">
      <c r="H76" s="14"/>
      <c r="I76" s="14"/>
      <c r="J76" s="14"/>
      <c r="K76" s="14"/>
      <c r="L76" s="14"/>
      <c r="M76" s="14"/>
      <c r="N76" s="14"/>
      <c r="O76" s="14"/>
      <c r="P76" s="14"/>
      <c r="Q76" s="14"/>
      <c r="R76" s="14"/>
      <c r="S76" s="14"/>
      <c r="T76" s="14"/>
      <c r="U76" s="14"/>
      <c r="V76" s="14"/>
      <c r="W76" s="14"/>
      <c r="X76" s="14"/>
      <c r="Y76" s="14"/>
    </row>
  </sheetData>
  <sheetProtection sheet="1" objects="1" formatCells="0" formatColumns="0" formatRows="0" sort="0" autoFilter="0"/>
  <conditionalFormatting sqref="H66">
    <cfRule type="cellIs" dxfId="26" priority="3" operator="greaterThan">
      <formula>0</formula>
    </cfRule>
  </conditionalFormatting>
  <conditionalFormatting sqref="A4:XFD4">
    <cfRule type="expression" dxfId="25" priority="2">
      <formula>LEFT($A$4,1) &lt;&gt; "0"</formula>
    </cfRule>
  </conditionalFormatting>
  <conditionalFormatting sqref="H64">
    <cfRule type="cellIs" dxfId="24"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E1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7" width="24.5703125" hidden="1" customWidth="1"/>
    <col min="318" max="16384" width="8.5703125" hidden="1"/>
  </cols>
  <sheetData>
    <row r="1" spans="1:27" s="1" customFormat="1" x14ac:dyDescent="0.25">
      <c r="A1" s="1" t="str">
        <f ca="1">MID(CELL("filename",A1),FIND("]",CELL("filename",A1))+1,255)</f>
        <v>Rounding</v>
      </c>
    </row>
    <row r="2" spans="1:27" s="1" customFormat="1" x14ac:dyDescent="0.25">
      <c r="A2" s="1" t="str">
        <f>Cover!D21&amp;" - "&amp;Cover!D23</f>
        <v>WPD East Midlands - April 21 Prices</v>
      </c>
    </row>
    <row r="3" spans="1:27" s="5" customFormat="1" x14ac:dyDescent="0.25">
      <c r="A3" s="5" t="str">
        <f>Cover!D2&amp;" - "&amp;Cover!D8&amp;" v"&amp;Cover!D10&amp;" - "&amp;Cover!D19</f>
        <v>CDCM charging model - Release for charge setting v5 - 2021/22</v>
      </c>
    </row>
    <row r="4" spans="1:27" x14ac:dyDescent="0.25">
      <c r="A4" s="12" t="str">
        <f>H158 &amp; IF(H158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852</v>
      </c>
      <c r="E9"/>
    </row>
    <row r="10" spans="1:27" x14ac:dyDescent="0.25">
      <c r="C10" s="29" t="s">
        <v>853</v>
      </c>
      <c r="E10"/>
    </row>
    <row r="12" spans="1:27" x14ac:dyDescent="0.25">
      <c r="B12" s="30" t="s">
        <v>854</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row>
    <row r="14" spans="1:27" x14ac:dyDescent="0.25">
      <c r="C14" s="29" t="s">
        <v>855</v>
      </c>
    </row>
    <row r="16" spans="1:27" x14ac:dyDescent="0.25">
      <c r="C16" s="31" t="str">
        <f ca="1">INDEX('Version control'!$H$34:$H$57,MATCH($A$1,'Version control'!$F$34:$F$57,0),1)&amp;"-A: Pre-match, pre-rounding tariff forecast"</f>
        <v>Section 117-A: Pre-match, pre-rounding tariff forecast</v>
      </c>
      <c r="D16" s="31"/>
      <c r="E16" s="31"/>
      <c r="F16" s="31"/>
      <c r="G16" s="31"/>
      <c r="H16" s="31"/>
      <c r="I16" s="31"/>
      <c r="J16" s="31"/>
      <c r="K16" s="31"/>
      <c r="L16" s="31"/>
      <c r="M16" s="31"/>
      <c r="N16" s="31"/>
      <c r="O16" s="31"/>
      <c r="P16" s="31"/>
      <c r="Q16" s="31"/>
      <c r="R16" s="31"/>
      <c r="S16" s="31"/>
      <c r="T16" s="31"/>
      <c r="U16" s="31"/>
      <c r="V16" s="31"/>
      <c r="W16" s="31"/>
      <c r="X16" s="31"/>
      <c r="Y16" s="31"/>
      <c r="Z16" s="31"/>
      <c r="AA16" s="31"/>
    </row>
    <row r="18" spans="3:27" x14ac:dyDescent="0.25">
      <c r="E18" s="32" t="s">
        <v>856</v>
      </c>
      <c r="F18" s="32"/>
    </row>
    <row r="19" spans="3:27" x14ac:dyDescent="0.25">
      <c r="E19" s="29" t="s">
        <v>857</v>
      </c>
      <c r="F19" s="2"/>
    </row>
    <row r="20" spans="3:27" x14ac:dyDescent="0.25">
      <c r="C20" s="88"/>
      <c r="F20" s="23" t="s">
        <v>156</v>
      </c>
      <c r="G20" s="23" t="s">
        <v>269</v>
      </c>
      <c r="H20" s="283"/>
      <c r="I20" s="267"/>
      <c r="J20" s="283">
        <f>'Revenue matching'!J20</f>
        <v>7.8691541236145142</v>
      </c>
      <c r="K20" s="283">
        <f>'Revenue matching'!K20</f>
        <v>7.8691541236145142</v>
      </c>
      <c r="L20" s="283">
        <f>'Revenue matching'!L20</f>
        <v>6.8165257676017825</v>
      </c>
      <c r="M20" s="283">
        <f>'Revenue matching'!M20</f>
        <v>6.8165257676017825</v>
      </c>
      <c r="N20" s="283">
        <f>'Revenue matching'!N20</f>
        <v>4.9279316341979271</v>
      </c>
      <c r="O20" s="283">
        <f>'Revenue matching'!O20</f>
        <v>3.3100709696873514</v>
      </c>
      <c r="P20" s="283">
        <f>'Revenue matching'!P20</f>
        <v>2.0294324650108937</v>
      </c>
      <c r="Q20" s="283">
        <f>'Revenue matching'!Q20</f>
        <v>20.888686876550693</v>
      </c>
      <c r="R20" s="283">
        <f>'Revenue matching'!R20</f>
        <v>-4.752126966792952</v>
      </c>
      <c r="S20" s="283">
        <f>'Revenue matching'!S20</f>
        <v>-4.1687283895347562</v>
      </c>
      <c r="T20" s="283">
        <f>'Revenue matching'!T20</f>
        <v>-4.752126966792952</v>
      </c>
      <c r="U20" s="283">
        <f>'Revenue matching'!U20</f>
        <v>-4.752126966792952</v>
      </c>
      <c r="V20" s="283">
        <f>'Revenue matching'!V20</f>
        <v>-4.1687283895347562</v>
      </c>
      <c r="W20" s="283">
        <f>'Revenue matching'!W20</f>
        <v>-4.1687283895347562</v>
      </c>
      <c r="X20" s="283">
        <f>'Revenue matching'!X20</f>
        <v>-2.7260556362386072</v>
      </c>
      <c r="Y20" s="283">
        <f>'Revenue matching'!Y20</f>
        <v>-2.7260556362386072</v>
      </c>
      <c r="Z20" s="269"/>
      <c r="AA20" s="269"/>
    </row>
    <row r="21" spans="3:27" x14ac:dyDescent="0.25">
      <c r="C21" s="88"/>
      <c r="F21" t="s">
        <v>157</v>
      </c>
      <c r="G21" t="s">
        <v>269</v>
      </c>
      <c r="H21" s="284"/>
      <c r="I21" s="269"/>
      <c r="J21" s="284">
        <f>'Revenue matching'!J21</f>
        <v>0.99456313995064261</v>
      </c>
      <c r="K21" s="284">
        <f>'Revenue matching'!K21</f>
        <v>0.99456313995064261</v>
      </c>
      <c r="L21" s="284">
        <f>'Revenue matching'!L21</f>
        <v>0.86152401700152526</v>
      </c>
      <c r="M21" s="284">
        <f>'Revenue matching'!M21</f>
        <v>0.86152401700152526</v>
      </c>
      <c r="N21" s="284">
        <f>'Revenue matching'!N21</f>
        <v>0.59969852693012982</v>
      </c>
      <c r="O21" s="284">
        <f>'Revenue matching'!O21</f>
        <v>0.3685087304672886</v>
      </c>
      <c r="P21" s="284">
        <f>'Revenue matching'!P21</f>
        <v>0.19154306505018537</v>
      </c>
      <c r="Q21" s="284">
        <f>'Revenue matching'!Q21</f>
        <v>1.6138430534096508</v>
      </c>
      <c r="R21" s="284">
        <f>'Revenue matching'!R21</f>
        <v>-0.6006097025542575</v>
      </c>
      <c r="S21" s="284">
        <f>'Revenue matching'!S21</f>
        <v>-0.51495336021881366</v>
      </c>
      <c r="T21" s="284">
        <f>'Revenue matching'!T21</f>
        <v>-0.6006097025542575</v>
      </c>
      <c r="U21" s="284">
        <f>'Revenue matching'!U21</f>
        <v>-0.6006097025542575</v>
      </c>
      <c r="V21" s="284">
        <f>'Revenue matching'!V21</f>
        <v>-0.51495336021881366</v>
      </c>
      <c r="W21" s="284">
        <f>'Revenue matching'!W21</f>
        <v>-0.51495336021881366</v>
      </c>
      <c r="X21" s="284">
        <f>'Revenue matching'!X21</f>
        <v>-0.29638866966229255</v>
      </c>
      <c r="Y21" s="284">
        <f>'Revenue matching'!Y21</f>
        <v>-0.29638866966229255</v>
      </c>
      <c r="Z21" s="269"/>
      <c r="AA21" s="269"/>
    </row>
    <row r="22" spans="3:27" x14ac:dyDescent="0.25">
      <c r="C22" s="88"/>
      <c r="F22" t="s">
        <v>158</v>
      </c>
      <c r="G22" t="s">
        <v>269</v>
      </c>
      <c r="H22" s="284"/>
      <c r="I22" s="269"/>
      <c r="J22" s="284">
        <f>'Revenue matching'!J22</f>
        <v>6.1367116408771211E-2</v>
      </c>
      <c r="K22" s="284">
        <f>'Revenue matching'!K22</f>
        <v>6.1367116408771211E-2</v>
      </c>
      <c r="L22" s="284">
        <f>'Revenue matching'!L22</f>
        <v>5.3158258653048969E-2</v>
      </c>
      <c r="M22" s="284">
        <f>'Revenue matching'!M22</f>
        <v>5.3158258653048969E-2</v>
      </c>
      <c r="N22" s="284">
        <f>'Revenue matching'!N22</f>
        <v>3.6091446122796002E-2</v>
      </c>
      <c r="O22" s="284">
        <f>'Revenue matching'!O22</f>
        <v>2.0773794392874644E-2</v>
      </c>
      <c r="P22" s="284">
        <f>'Revenue matching'!P22</f>
        <v>9.2689579954535039E-3</v>
      </c>
      <c r="Q22" s="284">
        <f>'Revenue matching'!Q22</f>
        <v>0.84689138056547619</v>
      </c>
      <c r="R22" s="284">
        <f>'Revenue matching'!R22</f>
        <v>-3.7059171059480152E-2</v>
      </c>
      <c r="S22" s="284">
        <f>'Revenue matching'!S22</f>
        <v>-3.1304146471503695E-2</v>
      </c>
      <c r="T22" s="284">
        <f>'Revenue matching'!T22</f>
        <v>-3.7059171059480152E-2</v>
      </c>
      <c r="U22" s="284">
        <f>'Revenue matching'!U22</f>
        <v>-3.7059171059480152E-2</v>
      </c>
      <c r="V22" s="284">
        <f>'Revenue matching'!V22</f>
        <v>-3.1304146471503695E-2</v>
      </c>
      <c r="W22" s="284">
        <f>'Revenue matching'!W22</f>
        <v>-3.1304146471503695E-2</v>
      </c>
      <c r="X22" s="284">
        <f>'Revenue matching'!X22</f>
        <v>-1.6392243650649556E-2</v>
      </c>
      <c r="Y22" s="284">
        <f>'Revenue matching'!Y22</f>
        <v>-1.6392243650649556E-2</v>
      </c>
      <c r="Z22" s="269"/>
      <c r="AA22" s="269"/>
    </row>
    <row r="23" spans="3:27" x14ac:dyDescent="0.25">
      <c r="C23" s="88"/>
      <c r="F23" t="s">
        <v>159</v>
      </c>
      <c r="G23" t="s">
        <v>270</v>
      </c>
      <c r="H23" s="51"/>
      <c r="J23" s="120">
        <f>'Revenue matching'!J23</f>
        <v>3.5774503749484534</v>
      </c>
      <c r="K23" s="120">
        <f>'Revenue matching'!K23</f>
        <v>0</v>
      </c>
      <c r="L23" s="120">
        <f>'Revenue matching'!L23</f>
        <v>7.2796214285118062</v>
      </c>
      <c r="M23" s="120">
        <f>'Revenue matching'!M23</f>
        <v>0</v>
      </c>
      <c r="N23" s="120">
        <f>'Revenue matching'!N23</f>
        <v>11.209229102763059</v>
      </c>
      <c r="O23" s="120">
        <f>'Revenue matching'!O23</f>
        <v>8.750007900649587</v>
      </c>
      <c r="P23" s="120">
        <f>'Revenue matching'!P23</f>
        <v>80.778634860261405</v>
      </c>
      <c r="Q23" s="120">
        <f>'Revenue matching'!Q23</f>
        <v>0</v>
      </c>
      <c r="R23" s="120">
        <f>'Revenue matching'!R23</f>
        <v>0</v>
      </c>
      <c r="S23" s="120">
        <f>'Revenue matching'!S23</f>
        <v>0</v>
      </c>
      <c r="T23" s="120">
        <f>'Revenue matching'!T23</f>
        <v>0</v>
      </c>
      <c r="U23" s="120">
        <f>'Revenue matching'!U23</f>
        <v>0</v>
      </c>
      <c r="V23" s="120">
        <f>'Revenue matching'!V23</f>
        <v>0</v>
      </c>
      <c r="W23" s="120">
        <f>'Revenue matching'!W23</f>
        <v>0</v>
      </c>
      <c r="X23" s="120">
        <f>'Revenue matching'!X23</f>
        <v>50.554717600698972</v>
      </c>
      <c r="Y23" s="120">
        <f>'Revenue matching'!Y23</f>
        <v>50.554717600698972</v>
      </c>
    </row>
    <row r="24" spans="3:27" x14ac:dyDescent="0.25">
      <c r="C24" s="88"/>
      <c r="F24" t="s">
        <v>160</v>
      </c>
      <c r="G24" t="s">
        <v>271</v>
      </c>
      <c r="H24" s="51"/>
      <c r="J24" s="120">
        <f>'Revenue matching'!J24</f>
        <v>0</v>
      </c>
      <c r="K24" s="120">
        <f>'Revenue matching'!K24</f>
        <v>0</v>
      </c>
      <c r="L24" s="120">
        <f>'Revenue matching'!L24</f>
        <v>0</v>
      </c>
      <c r="M24" s="120">
        <f>'Revenue matching'!M24</f>
        <v>0</v>
      </c>
      <c r="N24" s="120">
        <f>'Revenue matching'!N24</f>
        <v>2.9022773697333371</v>
      </c>
      <c r="O24" s="120">
        <f>'Revenue matching'!O24</f>
        <v>3.5192649102564451</v>
      </c>
      <c r="P24" s="120">
        <f>'Revenue matching'!P24</f>
        <v>4.2758402624206795</v>
      </c>
      <c r="Q24" s="120">
        <f>'Revenue matching'!Q24</f>
        <v>0</v>
      </c>
      <c r="R24" s="120">
        <f>'Revenue matching'!R24</f>
        <v>0</v>
      </c>
      <c r="S24" s="120">
        <f>'Revenue matching'!S24</f>
        <v>0</v>
      </c>
      <c r="T24" s="120">
        <f>'Revenue matching'!T24</f>
        <v>0</v>
      </c>
      <c r="U24" s="120">
        <f>'Revenue matching'!U24</f>
        <v>0</v>
      </c>
      <c r="V24" s="120">
        <f>'Revenue matching'!V24</f>
        <v>0</v>
      </c>
      <c r="W24" s="120">
        <f>'Revenue matching'!W24</f>
        <v>0</v>
      </c>
      <c r="X24" s="120">
        <f>'Revenue matching'!X24</f>
        <v>0</v>
      </c>
      <c r="Y24" s="120">
        <f>'Revenue matching'!Y24</f>
        <v>0</v>
      </c>
    </row>
    <row r="25" spans="3:27" x14ac:dyDescent="0.25">
      <c r="C25" s="88"/>
      <c r="F25" t="s">
        <v>161</v>
      </c>
      <c r="G25" t="s">
        <v>271</v>
      </c>
      <c r="H25" s="51"/>
      <c r="J25" s="120">
        <f>'Revenue matching'!J25</f>
        <v>0</v>
      </c>
      <c r="K25" s="120">
        <f>'Revenue matching'!K25</f>
        <v>0</v>
      </c>
      <c r="L25" s="120">
        <f>'Revenue matching'!L25</f>
        <v>0</v>
      </c>
      <c r="M25" s="120">
        <f>'Revenue matching'!M25</f>
        <v>0</v>
      </c>
      <c r="N25" s="120">
        <f>'Revenue matching'!N25</f>
        <v>5.7538465988133698</v>
      </c>
      <c r="O25" s="120">
        <f>'Revenue matching'!O25</f>
        <v>5.3097024839345712</v>
      </c>
      <c r="P25" s="120">
        <f>'Revenue matching'!P25</f>
        <v>6.1842114491768658</v>
      </c>
      <c r="Q25" s="120">
        <f>'Revenue matching'!Q25</f>
        <v>0</v>
      </c>
      <c r="R25" s="120">
        <f>'Revenue matching'!R25</f>
        <v>0</v>
      </c>
      <c r="S25" s="120">
        <f>'Revenue matching'!S25</f>
        <v>0</v>
      </c>
      <c r="T25" s="120">
        <f>'Revenue matching'!T25</f>
        <v>0</v>
      </c>
      <c r="U25" s="120">
        <f>'Revenue matching'!U25</f>
        <v>0</v>
      </c>
      <c r="V25" s="120">
        <f>'Revenue matching'!V25</f>
        <v>0</v>
      </c>
      <c r="W25" s="120">
        <f>'Revenue matching'!W25</f>
        <v>0</v>
      </c>
      <c r="X25" s="120">
        <f>'Revenue matching'!X25</f>
        <v>0</v>
      </c>
      <c r="Y25" s="120">
        <f>'Revenue matching'!Y25</f>
        <v>0</v>
      </c>
    </row>
    <row r="26" spans="3:27" x14ac:dyDescent="0.25">
      <c r="C26" s="88"/>
      <c r="F26" s="37" t="s">
        <v>162</v>
      </c>
      <c r="G26" s="37" t="s">
        <v>272</v>
      </c>
      <c r="H26" s="288"/>
      <c r="I26" s="273"/>
      <c r="J26" s="288">
        <f>'Revenue matching'!J26</f>
        <v>0</v>
      </c>
      <c r="K26" s="288">
        <f>'Revenue matching'!K26</f>
        <v>0</v>
      </c>
      <c r="L26" s="288">
        <f>'Revenue matching'!L26</f>
        <v>0</v>
      </c>
      <c r="M26" s="288">
        <f>'Revenue matching'!M26</f>
        <v>0</v>
      </c>
      <c r="N26" s="288">
        <f>'Revenue matching'!N26</f>
        <v>0.15692255620699452</v>
      </c>
      <c r="O26" s="288">
        <f>'Revenue matching'!O26</f>
        <v>0.11131765254811224</v>
      </c>
      <c r="P26" s="288">
        <f>'Revenue matching'!P26</f>
        <v>5.7053720558470841E-2</v>
      </c>
      <c r="Q26" s="288">
        <f>'Revenue matching'!Q26</f>
        <v>0</v>
      </c>
      <c r="R26" s="288">
        <f>'Revenue matching'!R26</f>
        <v>0</v>
      </c>
      <c r="S26" s="288">
        <f>'Revenue matching'!S26</f>
        <v>0</v>
      </c>
      <c r="T26" s="288">
        <f>'Revenue matching'!T26</f>
        <v>0.15558506248767914</v>
      </c>
      <c r="U26" s="288">
        <f>'Revenue matching'!U26</f>
        <v>0</v>
      </c>
      <c r="V26" s="288">
        <f>'Revenue matching'!V26</f>
        <v>0.13073382681730653</v>
      </c>
      <c r="W26" s="288">
        <f>'Revenue matching'!W26</f>
        <v>0</v>
      </c>
      <c r="X26" s="288">
        <f>'Revenue matching'!X26</f>
        <v>0.10505458869968366</v>
      </c>
      <c r="Y26" s="288">
        <f>'Revenue matching'!Y26</f>
        <v>0</v>
      </c>
      <c r="Z26" s="269"/>
      <c r="AA26" s="269"/>
    </row>
    <row r="27" spans="3:27" x14ac:dyDescent="0.25">
      <c r="C27" s="88"/>
      <c r="E27"/>
      <c r="J27" s="89"/>
      <c r="K27" s="89"/>
      <c r="L27" s="89"/>
      <c r="M27" s="89"/>
      <c r="N27" s="89"/>
      <c r="O27" s="89"/>
      <c r="P27" s="89"/>
      <c r="Q27" s="89"/>
      <c r="R27" s="89"/>
      <c r="S27" s="89"/>
      <c r="T27" s="89"/>
      <c r="U27" s="89"/>
      <c r="V27" s="89"/>
      <c r="W27" s="89"/>
      <c r="X27" s="89"/>
      <c r="Y27" s="89"/>
    </row>
    <row r="28" spans="3:27" x14ac:dyDescent="0.25">
      <c r="C28" s="31" t="str">
        <f ca="1">INDEX('Version control'!$H$34:$H$57,MATCH($A$1,'Version control'!$F$34:$F$57,0),1)&amp;"-B: Adder to be applied to unit rates"</f>
        <v>Section 117-B: Adder to be applied to unit rates</v>
      </c>
      <c r="D28" s="31"/>
      <c r="E28" s="31"/>
      <c r="F28" s="31"/>
      <c r="G28" s="31"/>
      <c r="H28" s="31"/>
      <c r="I28" s="31"/>
      <c r="J28" s="90"/>
      <c r="K28" s="90"/>
      <c r="L28" s="90"/>
      <c r="M28" s="90"/>
      <c r="N28" s="90"/>
      <c r="O28" s="90"/>
      <c r="P28" s="90"/>
      <c r="Q28" s="90"/>
      <c r="R28" s="90"/>
      <c r="S28" s="90"/>
      <c r="T28" s="90"/>
      <c r="U28" s="90"/>
      <c r="V28" s="90"/>
      <c r="W28" s="90"/>
      <c r="X28" s="90"/>
      <c r="Y28" s="90"/>
      <c r="Z28" s="31"/>
      <c r="AA28" s="31"/>
    </row>
    <row r="29" spans="3:27" x14ac:dyDescent="0.25">
      <c r="J29" s="89"/>
      <c r="K29" s="89"/>
      <c r="L29" s="89"/>
      <c r="M29" s="89"/>
      <c r="N29" s="89"/>
      <c r="O29" s="89"/>
      <c r="P29" s="89"/>
      <c r="Q29" s="89"/>
      <c r="R29" s="89"/>
      <c r="S29" s="89"/>
      <c r="T29" s="89"/>
      <c r="U29" s="89"/>
      <c r="V29" s="89"/>
      <c r="W29" s="89"/>
      <c r="X29" s="89"/>
      <c r="Y29" s="89"/>
    </row>
    <row r="30" spans="3:27" x14ac:dyDescent="0.25">
      <c r="E30" s="88" t="s">
        <v>843</v>
      </c>
      <c r="J30" s="89"/>
      <c r="K30" s="89"/>
      <c r="L30" s="89"/>
      <c r="M30" s="89"/>
      <c r="N30" s="89"/>
      <c r="O30" s="89"/>
      <c r="P30" s="89"/>
      <c r="Q30" s="89"/>
      <c r="R30" s="89"/>
      <c r="S30" s="89"/>
      <c r="T30" s="89"/>
      <c r="U30" s="89"/>
      <c r="V30" s="89"/>
      <c r="W30" s="89"/>
      <c r="X30" s="89"/>
      <c r="Y30" s="89"/>
    </row>
    <row r="31" spans="3:27" x14ac:dyDescent="0.25">
      <c r="E31" s="29" t="s">
        <v>858</v>
      </c>
      <c r="J31" s="89"/>
      <c r="K31" s="89"/>
      <c r="L31" s="89"/>
      <c r="M31" s="89"/>
      <c r="N31" s="89"/>
      <c r="O31" s="89"/>
      <c r="P31" s="89"/>
      <c r="Q31" s="89"/>
      <c r="R31" s="89"/>
      <c r="S31" s="89"/>
      <c r="T31" s="89"/>
      <c r="U31" s="89"/>
      <c r="V31" s="89"/>
      <c r="W31" s="89"/>
      <c r="X31" s="89"/>
      <c r="Y31" s="89"/>
    </row>
    <row r="32" spans="3:27" x14ac:dyDescent="0.25">
      <c r="E32" s="88"/>
      <c r="F32" s="23" t="s">
        <v>156</v>
      </c>
      <c r="G32" s="23" t="s">
        <v>269</v>
      </c>
      <c r="H32" s="283"/>
      <c r="I32" s="267"/>
      <c r="J32" s="283">
        <f>'Revenue matching'!J139</f>
        <v>0.8735748123113567</v>
      </c>
      <c r="K32" s="283">
        <f>'Revenue matching'!K139</f>
        <v>0.8735748123113567</v>
      </c>
      <c r="L32" s="283">
        <f>'Revenue matching'!L139</f>
        <v>0.8735748123113567</v>
      </c>
      <c r="M32" s="283">
        <f>'Revenue matching'!M139</f>
        <v>0.8735748123113567</v>
      </c>
      <c r="N32" s="283">
        <f>'Revenue matching'!N139</f>
        <v>0.8735748123113567</v>
      </c>
      <c r="O32" s="283">
        <f>'Revenue matching'!O139</f>
        <v>0.8735748123113567</v>
      </c>
      <c r="P32" s="283">
        <f>'Revenue matching'!P139</f>
        <v>0.8735748123113567</v>
      </c>
      <c r="Q32" s="283">
        <f>'Revenue matching'!Q139</f>
        <v>0.8735748123113567</v>
      </c>
      <c r="R32" s="283">
        <f>'Revenue matching'!R139</f>
        <v>0</v>
      </c>
      <c r="S32" s="283">
        <f>'Revenue matching'!S139</f>
        <v>0</v>
      </c>
      <c r="T32" s="283">
        <f>'Revenue matching'!T139</f>
        <v>0</v>
      </c>
      <c r="U32" s="283">
        <f>'Revenue matching'!U139</f>
        <v>0</v>
      </c>
      <c r="V32" s="283">
        <f>'Revenue matching'!V139</f>
        <v>0</v>
      </c>
      <c r="W32" s="283">
        <f>'Revenue matching'!W139</f>
        <v>0</v>
      </c>
      <c r="X32" s="283">
        <f>'Revenue matching'!X139</f>
        <v>0</v>
      </c>
      <c r="Y32" s="283">
        <f>'Revenue matching'!Y139</f>
        <v>0</v>
      </c>
      <c r="Z32" s="269"/>
      <c r="AA32" s="269"/>
    </row>
    <row r="33" spans="3:27" x14ac:dyDescent="0.25">
      <c r="E33" s="88"/>
      <c r="F33" t="s">
        <v>157</v>
      </c>
      <c r="G33" t="s">
        <v>269</v>
      </c>
      <c r="H33" s="284"/>
      <c r="I33" s="269"/>
      <c r="J33" s="284">
        <f>'Revenue matching'!J140</f>
        <v>0.8735748123113567</v>
      </c>
      <c r="K33" s="284">
        <f>'Revenue matching'!K140</f>
        <v>0.8735748123113567</v>
      </c>
      <c r="L33" s="284">
        <f>'Revenue matching'!L140</f>
        <v>0.8735748123113567</v>
      </c>
      <c r="M33" s="284">
        <f>'Revenue matching'!M140</f>
        <v>0.8735748123113567</v>
      </c>
      <c r="N33" s="284">
        <f>'Revenue matching'!N140</f>
        <v>0.8735748123113567</v>
      </c>
      <c r="O33" s="284">
        <f>'Revenue matching'!O140</f>
        <v>0.8735748123113567</v>
      </c>
      <c r="P33" s="284">
        <f>'Revenue matching'!P140</f>
        <v>0.8735748123113567</v>
      </c>
      <c r="Q33" s="284">
        <f>'Revenue matching'!Q140</f>
        <v>0.8735748123113567</v>
      </c>
      <c r="R33" s="284">
        <f>'Revenue matching'!R140</f>
        <v>0</v>
      </c>
      <c r="S33" s="284">
        <f>'Revenue matching'!S140</f>
        <v>0</v>
      </c>
      <c r="T33" s="284">
        <f>'Revenue matching'!T140</f>
        <v>0</v>
      </c>
      <c r="U33" s="284">
        <f>'Revenue matching'!U140</f>
        <v>0</v>
      </c>
      <c r="V33" s="284">
        <f>'Revenue matching'!V140</f>
        <v>0</v>
      </c>
      <c r="W33" s="284">
        <f>'Revenue matching'!W140</f>
        <v>0</v>
      </c>
      <c r="X33" s="284">
        <f>'Revenue matching'!X140</f>
        <v>0</v>
      </c>
      <c r="Y33" s="284">
        <f>'Revenue matching'!Y140</f>
        <v>0</v>
      </c>
      <c r="Z33" s="269"/>
      <c r="AA33" s="269"/>
    </row>
    <row r="34" spans="3:27" x14ac:dyDescent="0.25">
      <c r="E34" s="88"/>
      <c r="F34" t="s">
        <v>158</v>
      </c>
      <c r="G34" t="s">
        <v>269</v>
      </c>
      <c r="H34" s="284"/>
      <c r="I34" s="269"/>
      <c r="J34" s="284">
        <f>'Revenue matching'!J141</f>
        <v>0.8735748123113567</v>
      </c>
      <c r="K34" s="284">
        <f>'Revenue matching'!K141</f>
        <v>0.8735748123113567</v>
      </c>
      <c r="L34" s="284">
        <f>'Revenue matching'!L141</f>
        <v>0.8735748123113567</v>
      </c>
      <c r="M34" s="284">
        <f>'Revenue matching'!M141</f>
        <v>0.8735748123113567</v>
      </c>
      <c r="N34" s="284">
        <f>'Revenue matching'!N141</f>
        <v>0.8735748123113567</v>
      </c>
      <c r="O34" s="284">
        <f>'Revenue matching'!O141</f>
        <v>0.8735748123113567</v>
      </c>
      <c r="P34" s="284">
        <f>'Revenue matching'!P141</f>
        <v>0.8735748123113567</v>
      </c>
      <c r="Q34" s="284">
        <f>'Revenue matching'!Q141</f>
        <v>0.8735748123113567</v>
      </c>
      <c r="R34" s="284">
        <f>'Revenue matching'!R141</f>
        <v>0</v>
      </c>
      <c r="S34" s="284">
        <f>'Revenue matching'!S141</f>
        <v>0</v>
      </c>
      <c r="T34" s="284">
        <f>'Revenue matching'!T141</f>
        <v>0</v>
      </c>
      <c r="U34" s="284">
        <f>'Revenue matching'!U141</f>
        <v>0</v>
      </c>
      <c r="V34" s="284">
        <f>'Revenue matching'!V141</f>
        <v>0</v>
      </c>
      <c r="W34" s="284">
        <f>'Revenue matching'!W141</f>
        <v>0</v>
      </c>
      <c r="X34" s="284">
        <f>'Revenue matching'!X141</f>
        <v>0</v>
      </c>
      <c r="Y34" s="284">
        <f>'Revenue matching'!Y141</f>
        <v>0</v>
      </c>
      <c r="Z34" s="269"/>
      <c r="AA34" s="269"/>
    </row>
    <row r="35" spans="3:27" x14ac:dyDescent="0.25">
      <c r="E35" s="88"/>
      <c r="F35" t="s">
        <v>159</v>
      </c>
      <c r="G35" t="s">
        <v>270</v>
      </c>
      <c r="H35" s="51"/>
      <c r="J35" s="79"/>
      <c r="K35" s="79"/>
      <c r="L35" s="79"/>
      <c r="M35" s="79"/>
      <c r="N35" s="79"/>
      <c r="O35" s="79"/>
      <c r="P35" s="79"/>
      <c r="Q35" s="79"/>
      <c r="R35" s="79"/>
      <c r="S35" s="79"/>
      <c r="T35" s="79"/>
      <c r="U35" s="79"/>
      <c r="V35" s="79"/>
      <c r="W35" s="79"/>
      <c r="X35" s="79"/>
      <c r="Y35" s="79"/>
    </row>
    <row r="36" spans="3:27" x14ac:dyDescent="0.25">
      <c r="E36" s="88"/>
      <c r="F36" t="s">
        <v>160</v>
      </c>
      <c r="G36" t="s">
        <v>271</v>
      </c>
      <c r="H36" s="51"/>
      <c r="J36" s="79"/>
      <c r="K36" s="79"/>
      <c r="L36" s="79"/>
      <c r="M36" s="79"/>
      <c r="N36" s="79"/>
      <c r="O36" s="79"/>
      <c r="P36" s="79"/>
      <c r="Q36" s="79"/>
      <c r="R36" s="79"/>
      <c r="S36" s="79"/>
      <c r="T36" s="79"/>
      <c r="U36" s="79"/>
      <c r="V36" s="79"/>
      <c r="W36" s="79"/>
      <c r="X36" s="79"/>
      <c r="Y36" s="79"/>
    </row>
    <row r="37" spans="3:27" x14ac:dyDescent="0.25">
      <c r="E37" s="88"/>
      <c r="F37" t="s">
        <v>161</v>
      </c>
      <c r="G37" t="s">
        <v>271</v>
      </c>
      <c r="H37" s="51"/>
      <c r="J37" s="79"/>
      <c r="K37" s="79"/>
      <c r="L37" s="79"/>
      <c r="M37" s="79"/>
      <c r="N37" s="79"/>
      <c r="O37" s="79"/>
      <c r="P37" s="79"/>
      <c r="Q37" s="79"/>
      <c r="R37" s="79"/>
      <c r="S37" s="79"/>
      <c r="T37" s="79"/>
      <c r="U37" s="79"/>
      <c r="V37" s="79"/>
      <c r="W37" s="79"/>
      <c r="X37" s="79"/>
      <c r="Y37" s="79"/>
    </row>
    <row r="38" spans="3:27" x14ac:dyDescent="0.25">
      <c r="E38" s="88"/>
      <c r="F38" s="37" t="s">
        <v>162</v>
      </c>
      <c r="G38" s="37" t="s">
        <v>272</v>
      </c>
      <c r="H38" s="288"/>
      <c r="I38" s="273"/>
      <c r="J38" s="274"/>
      <c r="K38" s="274"/>
      <c r="L38" s="274"/>
      <c r="M38" s="274"/>
      <c r="N38" s="274"/>
      <c r="O38" s="274"/>
      <c r="P38" s="274"/>
      <c r="Q38" s="274"/>
      <c r="R38" s="274"/>
      <c r="S38" s="274"/>
      <c r="T38" s="274"/>
      <c r="U38" s="274"/>
      <c r="V38" s="274"/>
      <c r="W38" s="274"/>
      <c r="X38" s="274"/>
      <c r="Y38" s="274"/>
      <c r="Z38" s="269"/>
      <c r="AA38" s="269"/>
    </row>
    <row r="39" spans="3:27" x14ac:dyDescent="0.25">
      <c r="D39" s="88"/>
      <c r="E39"/>
    </row>
    <row r="40" spans="3:27" x14ac:dyDescent="0.25">
      <c r="C40" s="31" t="str">
        <f ca="1">INDEX('Version control'!$H$34:$H$57,MATCH($A$1,'Version control'!$F$34:$F$57,0),1)&amp;"-C: Adder to be applied to fixed charge"</f>
        <v>Section 117-C: Adder to be applied to fixed charge</v>
      </c>
      <c r="D40" s="31"/>
      <c r="E40" s="31"/>
      <c r="F40" s="31"/>
      <c r="G40" s="31"/>
      <c r="H40" s="31"/>
      <c r="I40" s="31"/>
      <c r="J40" s="31"/>
      <c r="K40" s="31"/>
      <c r="L40" s="31"/>
      <c r="M40" s="31"/>
      <c r="N40" s="31"/>
      <c r="O40" s="31"/>
      <c r="P40" s="31"/>
      <c r="Q40" s="31"/>
      <c r="R40" s="31"/>
      <c r="S40" s="31"/>
      <c r="T40" s="31"/>
      <c r="U40" s="31"/>
      <c r="V40" s="31"/>
      <c r="W40" s="31"/>
      <c r="X40" s="31"/>
      <c r="Y40" s="31"/>
    </row>
    <row r="42" spans="3:27" x14ac:dyDescent="0.25">
      <c r="E42" s="88" t="s">
        <v>1050</v>
      </c>
    </row>
    <row r="43" spans="3:27" x14ac:dyDescent="0.25">
      <c r="E43" s="29" t="s">
        <v>1051</v>
      </c>
    </row>
    <row r="44" spans="3:27" x14ac:dyDescent="0.25">
      <c r="E44" s="88"/>
      <c r="F44" s="23" t="s">
        <v>156</v>
      </c>
      <c r="G44" s="23" t="s">
        <v>269</v>
      </c>
      <c r="H44" s="283"/>
      <c r="I44" s="267"/>
      <c r="J44" s="83"/>
      <c r="K44" s="83"/>
      <c r="L44" s="83"/>
      <c r="M44" s="83"/>
      <c r="N44" s="83"/>
      <c r="O44" s="83"/>
      <c r="P44" s="83"/>
      <c r="Q44" s="83"/>
      <c r="R44" s="83"/>
      <c r="S44" s="83"/>
      <c r="T44" s="83"/>
      <c r="U44" s="83"/>
      <c r="V44" s="83"/>
      <c r="W44" s="83"/>
      <c r="X44" s="83"/>
      <c r="Y44" s="83"/>
    </row>
    <row r="45" spans="3:27" x14ac:dyDescent="0.25">
      <c r="E45" s="88"/>
      <c r="F45" t="s">
        <v>157</v>
      </c>
      <c r="G45" t="s">
        <v>269</v>
      </c>
      <c r="H45" s="284"/>
      <c r="I45" s="269"/>
      <c r="J45" s="79"/>
      <c r="K45" s="79"/>
      <c r="L45" s="79"/>
      <c r="M45" s="79"/>
      <c r="N45" s="79"/>
      <c r="O45" s="79"/>
      <c r="P45" s="79"/>
      <c r="Q45" s="79"/>
      <c r="R45" s="79"/>
      <c r="S45" s="79"/>
      <c r="T45" s="79"/>
      <c r="U45" s="79"/>
      <c r="V45" s="79"/>
      <c r="W45" s="79"/>
      <c r="X45" s="79"/>
      <c r="Y45" s="79"/>
    </row>
    <row r="46" spans="3:27" x14ac:dyDescent="0.25">
      <c r="E46" s="88"/>
      <c r="F46" t="s">
        <v>158</v>
      </c>
      <c r="G46" t="s">
        <v>269</v>
      </c>
      <c r="H46" s="284"/>
      <c r="I46" s="269"/>
      <c r="J46" s="79"/>
      <c r="K46" s="79"/>
      <c r="L46" s="79"/>
      <c r="M46" s="79"/>
      <c r="N46" s="79"/>
      <c r="O46" s="79"/>
      <c r="P46" s="79"/>
      <c r="Q46" s="79"/>
      <c r="R46" s="79"/>
      <c r="S46" s="79"/>
      <c r="T46" s="79"/>
      <c r="U46" s="79"/>
      <c r="V46" s="79"/>
      <c r="W46" s="79"/>
      <c r="X46" s="79"/>
      <c r="Y46" s="79"/>
    </row>
    <row r="47" spans="3:27" x14ac:dyDescent="0.25">
      <c r="E47" s="88"/>
      <c r="F47" t="s">
        <v>159</v>
      </c>
      <c r="G47" t="s">
        <v>270</v>
      </c>
      <c r="H47" s="51"/>
      <c r="J47" s="120">
        <f>'Fixed charge adder'!J46</f>
        <v>0.165912672166074</v>
      </c>
      <c r="K47" s="120">
        <f>'Fixed charge adder'!K46</f>
        <v>0</v>
      </c>
      <c r="L47" s="120">
        <f>'Fixed charge adder'!L46</f>
        <v>0.15717184865321343</v>
      </c>
      <c r="M47" s="120">
        <f>'Fixed charge adder'!M46</f>
        <v>0</v>
      </c>
      <c r="N47" s="120">
        <f>'Fixed charge adder'!N46</f>
        <v>0.15717184865321343</v>
      </c>
      <c r="O47" s="120">
        <f>'Fixed charge adder'!O46</f>
        <v>0.15717184865321343</v>
      </c>
      <c r="P47" s="120">
        <f>'Fixed charge adder'!P46</f>
        <v>0.15717184865321343</v>
      </c>
      <c r="Q47" s="120">
        <f>'Fixed charge adder'!Q46</f>
        <v>0</v>
      </c>
      <c r="R47" s="120">
        <f>'Fixed charge adder'!R46</f>
        <v>0</v>
      </c>
      <c r="S47" s="120">
        <f>'Fixed charge adder'!S46</f>
        <v>0</v>
      </c>
      <c r="T47" s="120">
        <f>'Fixed charge adder'!T46</f>
        <v>0</v>
      </c>
      <c r="U47" s="120">
        <f>'Fixed charge adder'!U46</f>
        <v>0</v>
      </c>
      <c r="V47" s="120">
        <f>'Fixed charge adder'!V46</f>
        <v>0</v>
      </c>
      <c r="W47" s="120">
        <f>'Fixed charge adder'!W46</f>
        <v>0</v>
      </c>
      <c r="X47" s="120">
        <f>'Fixed charge adder'!X46</f>
        <v>0</v>
      </c>
      <c r="Y47" s="120">
        <f>'Fixed charge adder'!Y46</f>
        <v>0</v>
      </c>
    </row>
    <row r="48" spans="3:27" x14ac:dyDescent="0.25">
      <c r="E48" s="88"/>
      <c r="F48" t="s">
        <v>160</v>
      </c>
      <c r="G48" t="s">
        <v>271</v>
      </c>
      <c r="H48" s="51"/>
      <c r="J48" s="79"/>
      <c r="K48" s="79"/>
      <c r="L48" s="79"/>
      <c r="M48" s="79"/>
      <c r="N48" s="79"/>
      <c r="O48" s="79"/>
      <c r="P48" s="79"/>
      <c r="Q48" s="79"/>
      <c r="R48" s="79"/>
      <c r="S48" s="79"/>
      <c r="T48" s="79"/>
      <c r="U48" s="79"/>
      <c r="V48" s="79"/>
      <c r="W48" s="79"/>
      <c r="X48" s="79"/>
      <c r="Y48" s="79"/>
    </row>
    <row r="49" spans="3:27" x14ac:dyDescent="0.25">
      <c r="E49" s="88"/>
      <c r="F49" t="s">
        <v>161</v>
      </c>
      <c r="G49" t="s">
        <v>271</v>
      </c>
      <c r="H49" s="51"/>
      <c r="J49" s="79"/>
      <c r="K49" s="79"/>
      <c r="L49" s="79"/>
      <c r="M49" s="79"/>
      <c r="N49" s="79"/>
      <c r="O49" s="79"/>
      <c r="P49" s="79"/>
      <c r="Q49" s="79"/>
      <c r="R49" s="79"/>
      <c r="S49" s="79"/>
      <c r="T49" s="79"/>
      <c r="U49" s="79"/>
      <c r="V49" s="79"/>
      <c r="W49" s="79"/>
      <c r="X49" s="79"/>
      <c r="Y49" s="79"/>
    </row>
    <row r="50" spans="3:27" x14ac:dyDescent="0.25">
      <c r="E50" s="88"/>
      <c r="F50" s="37" t="s">
        <v>162</v>
      </c>
      <c r="G50" s="37" t="s">
        <v>272</v>
      </c>
      <c r="H50" s="288"/>
      <c r="I50" s="273"/>
      <c r="J50" s="274"/>
      <c r="K50" s="274"/>
      <c r="L50" s="274"/>
      <c r="M50" s="274"/>
      <c r="N50" s="274"/>
      <c r="O50" s="274"/>
      <c r="P50" s="274"/>
      <c r="Q50" s="274"/>
      <c r="R50" s="274"/>
      <c r="S50" s="274"/>
      <c r="T50" s="274"/>
      <c r="U50" s="274"/>
      <c r="V50" s="274"/>
      <c r="W50" s="274"/>
      <c r="X50" s="274"/>
      <c r="Y50" s="274"/>
    </row>
    <row r="51" spans="3:27" x14ac:dyDescent="0.25">
      <c r="D51" s="88"/>
      <c r="E51"/>
    </row>
    <row r="52" spans="3:27" x14ac:dyDescent="0.25">
      <c r="C52" s="31" t="str">
        <f ca="1">INDEX('Version control'!$H$34:$H$57,MATCH($A$1,'Version control'!$F$34:$F$57,0),1)&amp;"-D: LDNO discounts"</f>
        <v>Section 117-D: LDNO discounts</v>
      </c>
      <c r="D52" s="31"/>
      <c r="E52" s="31"/>
      <c r="F52" s="31"/>
      <c r="G52" s="31"/>
      <c r="H52" s="31"/>
      <c r="I52" s="31"/>
      <c r="J52" s="31"/>
      <c r="K52" s="31"/>
      <c r="L52" s="31"/>
      <c r="M52" s="31"/>
      <c r="N52" s="31"/>
      <c r="O52" s="31"/>
      <c r="P52" s="31"/>
      <c r="Q52" s="31"/>
      <c r="R52" s="31"/>
      <c r="S52" s="31"/>
      <c r="T52" s="31"/>
      <c r="U52" s="31"/>
      <c r="V52" s="31"/>
      <c r="W52" s="31"/>
      <c r="X52" s="31"/>
      <c r="Y52" s="31"/>
      <c r="Z52" s="31"/>
      <c r="AA52" s="31"/>
    </row>
    <row r="54" spans="3:27" x14ac:dyDescent="0.25">
      <c r="D54"/>
      <c r="E54" s="88" t="s">
        <v>859</v>
      </c>
      <c r="I54" t="s">
        <v>154</v>
      </c>
      <c r="AA54" t="s">
        <v>428</v>
      </c>
    </row>
    <row r="55" spans="3:27" x14ac:dyDescent="0.25">
      <c r="D55"/>
      <c r="E55" s="88"/>
      <c r="F55" s="23" t="s">
        <v>156</v>
      </c>
      <c r="G55" s="23" t="s">
        <v>167</v>
      </c>
      <c r="H55" s="174"/>
      <c r="I55" s="23"/>
      <c r="J55" s="107">
        <f>'Volume adjustments'!J$62</f>
        <v>0.30508437792432874</v>
      </c>
      <c r="K55" s="107">
        <f>'Volume adjustments'!K$62</f>
        <v>0.30508437792432874</v>
      </c>
      <c r="L55" s="107">
        <f>'Volume adjustments'!L$62</f>
        <v>0.30508437792432874</v>
      </c>
      <c r="M55" s="107">
        <f>'Volume adjustments'!M$62</f>
        <v>0.30508437792432874</v>
      </c>
      <c r="N55" s="107">
        <f>'Volume adjustments'!N$62</f>
        <v>0.30508437792432874</v>
      </c>
      <c r="O55" s="107">
        <f>'Volume adjustments'!O$62</f>
        <v>0</v>
      </c>
      <c r="P55" s="107">
        <f>'Volume adjustments'!P$62</f>
        <v>0</v>
      </c>
      <c r="Q55" s="107">
        <f>'Volume adjustments'!Q$62</f>
        <v>0.30508437792432874</v>
      </c>
      <c r="R55" s="107">
        <f>'Volume adjustments'!R$62</f>
        <v>0</v>
      </c>
      <c r="S55" s="107">
        <f>'Volume adjustments'!S$62</f>
        <v>0</v>
      </c>
      <c r="T55" s="107">
        <f>'Volume adjustments'!T$62</f>
        <v>0</v>
      </c>
      <c r="U55" s="107">
        <f>'Volume adjustments'!U$62</f>
        <v>0</v>
      </c>
      <c r="V55" s="107">
        <f>'Volume adjustments'!V$62</f>
        <v>0</v>
      </c>
      <c r="W55" s="107">
        <f>'Volume adjustments'!W$62</f>
        <v>0</v>
      </c>
      <c r="X55" s="107">
        <f>'Volume adjustments'!X$62</f>
        <v>0</v>
      </c>
      <c r="Y55" s="107">
        <f>'Volume adjustments'!Y$62</f>
        <v>0</v>
      </c>
    </row>
    <row r="56" spans="3:27" x14ac:dyDescent="0.25">
      <c r="D56"/>
      <c r="E56" s="88"/>
      <c r="F56" t="s">
        <v>157</v>
      </c>
      <c r="G56" t="s">
        <v>167</v>
      </c>
      <c r="H56" s="51"/>
      <c r="J56" s="25">
        <f>'Volume adjustments'!J$73</f>
        <v>0.30508437792432874</v>
      </c>
      <c r="K56" s="25">
        <f>'Volume adjustments'!K$73</f>
        <v>0.30508437792432874</v>
      </c>
      <c r="L56" s="25">
        <f>'Volume adjustments'!L$73</f>
        <v>0.30508437792432874</v>
      </c>
      <c r="M56" s="25">
        <f>'Volume adjustments'!M$73</f>
        <v>0.30508437792432874</v>
      </c>
      <c r="N56" s="25">
        <f>'Volume adjustments'!N$73</f>
        <v>0.30508437792432874</v>
      </c>
      <c r="O56" s="25">
        <f>'Volume adjustments'!O$73</f>
        <v>0</v>
      </c>
      <c r="P56" s="25">
        <f>'Volume adjustments'!P$73</f>
        <v>0</v>
      </c>
      <c r="Q56" s="25">
        <f>'Volume adjustments'!Q$73</f>
        <v>0.30508437792432874</v>
      </c>
      <c r="R56" s="25">
        <f>'Volume adjustments'!R$73</f>
        <v>0</v>
      </c>
      <c r="S56" s="25">
        <f>'Volume adjustments'!S$73</f>
        <v>0</v>
      </c>
      <c r="T56" s="25">
        <f>'Volume adjustments'!T$73</f>
        <v>0</v>
      </c>
      <c r="U56" s="25">
        <f>'Volume adjustments'!U$73</f>
        <v>0</v>
      </c>
      <c r="V56" s="25">
        <f>'Volume adjustments'!V$73</f>
        <v>0</v>
      </c>
      <c r="W56" s="25">
        <f>'Volume adjustments'!W$73</f>
        <v>0</v>
      </c>
      <c r="X56" s="25">
        <f>'Volume adjustments'!X$73</f>
        <v>0</v>
      </c>
      <c r="Y56" s="25">
        <f>'Volume adjustments'!Y$73</f>
        <v>0</v>
      </c>
    </row>
    <row r="57" spans="3:27" x14ac:dyDescent="0.25">
      <c r="D57"/>
      <c r="E57" s="88"/>
      <c r="F57" t="s">
        <v>158</v>
      </c>
      <c r="G57" t="s">
        <v>167</v>
      </c>
      <c r="H57" s="51"/>
      <c r="J57" s="25">
        <f>'Volume adjustments'!J$84</f>
        <v>0.30508437792432874</v>
      </c>
      <c r="K57" s="25">
        <f>'Volume adjustments'!K$84</f>
        <v>0.30508437792432874</v>
      </c>
      <c r="L57" s="25">
        <f>'Volume adjustments'!L$84</f>
        <v>0.30508437792432874</v>
      </c>
      <c r="M57" s="25">
        <f>'Volume adjustments'!M$84</f>
        <v>0.30508437792432874</v>
      </c>
      <c r="N57" s="25">
        <f>'Volume adjustments'!N$84</f>
        <v>0.30508437792432874</v>
      </c>
      <c r="O57" s="25">
        <f>'Volume adjustments'!O$84</f>
        <v>0</v>
      </c>
      <c r="P57" s="25">
        <f>'Volume adjustments'!P$84</f>
        <v>0</v>
      </c>
      <c r="Q57" s="25">
        <f>'Volume adjustments'!Q$84</f>
        <v>0.30508437792432874</v>
      </c>
      <c r="R57" s="25">
        <f>'Volume adjustments'!R$84</f>
        <v>0</v>
      </c>
      <c r="S57" s="25">
        <f>'Volume adjustments'!S$84</f>
        <v>0</v>
      </c>
      <c r="T57" s="25">
        <f>'Volume adjustments'!T$84</f>
        <v>0</v>
      </c>
      <c r="U57" s="25">
        <f>'Volume adjustments'!U$84</f>
        <v>0</v>
      </c>
      <c r="V57" s="25">
        <f>'Volume adjustments'!V$84</f>
        <v>0</v>
      </c>
      <c r="W57" s="25">
        <f>'Volume adjustments'!W$84</f>
        <v>0</v>
      </c>
      <c r="X57" s="25">
        <f>'Volume adjustments'!X$84</f>
        <v>0</v>
      </c>
      <c r="Y57" s="25">
        <f>'Volume adjustments'!Y$84</f>
        <v>0</v>
      </c>
    </row>
    <row r="58" spans="3:27" x14ac:dyDescent="0.25">
      <c r="D58"/>
      <c r="E58" s="88"/>
      <c r="F58" t="s">
        <v>159</v>
      </c>
      <c r="G58" t="s">
        <v>167</v>
      </c>
      <c r="H58" s="51"/>
      <c r="J58" s="25">
        <f>'Volume adjustments'!J$99</f>
        <v>0.30508437792432874</v>
      </c>
      <c r="K58" s="25">
        <f>'Volume adjustments'!K$99</f>
        <v>0.30508437792432874</v>
      </c>
      <c r="L58" s="25">
        <f>'Volume adjustments'!L$99</f>
        <v>0.30508437792432874</v>
      </c>
      <c r="M58" s="25">
        <f>'Volume adjustments'!M$99</f>
        <v>0.30508437792432874</v>
      </c>
      <c r="N58" s="25">
        <f>'Volume adjustments'!N$99</f>
        <v>0.30508437792432874</v>
      </c>
      <c r="O58" s="25">
        <f>'Volume adjustments'!O$99</f>
        <v>0</v>
      </c>
      <c r="P58" s="25">
        <f>'Volume adjustments'!P$99</f>
        <v>0</v>
      </c>
      <c r="Q58" s="25">
        <f>'Volume adjustments'!Q$99</f>
        <v>0.30508437792432874</v>
      </c>
      <c r="R58" s="25">
        <f>'Volume adjustments'!R$99</f>
        <v>1</v>
      </c>
      <c r="S58" s="25">
        <f>'Volume adjustments'!S$99</f>
        <v>1</v>
      </c>
      <c r="T58" s="25">
        <f>'Volume adjustments'!T$99</f>
        <v>1</v>
      </c>
      <c r="U58" s="25">
        <f>'Volume adjustments'!U$99</f>
        <v>1</v>
      </c>
      <c r="V58" s="25">
        <f>'Volume adjustments'!V$99</f>
        <v>1</v>
      </c>
      <c r="W58" s="25">
        <f>'Volume adjustments'!W$99</f>
        <v>1</v>
      </c>
      <c r="X58" s="25">
        <f>'Volume adjustments'!X$99</f>
        <v>1</v>
      </c>
      <c r="Y58" s="25">
        <f>'Volume adjustments'!Y$99</f>
        <v>1</v>
      </c>
    </row>
    <row r="59" spans="3:27" x14ac:dyDescent="0.25">
      <c r="D59"/>
      <c r="E59" s="88"/>
      <c r="F59" t="s">
        <v>160</v>
      </c>
      <c r="G59" t="s">
        <v>167</v>
      </c>
      <c r="H59" s="51"/>
      <c r="J59" s="25">
        <f>'Volume adjustments'!J$110</f>
        <v>0.30508437792432874</v>
      </c>
      <c r="K59" s="25">
        <f>'Volume adjustments'!K$110</f>
        <v>0.30508437792432874</v>
      </c>
      <c r="L59" s="25">
        <f>'Volume adjustments'!L$110</f>
        <v>0.30508437792432874</v>
      </c>
      <c r="M59" s="25">
        <f>'Volume adjustments'!M$110</f>
        <v>0.30508437792432874</v>
      </c>
      <c r="N59" s="25">
        <f>'Volume adjustments'!N$110</f>
        <v>0.30508437792432874</v>
      </c>
      <c r="O59" s="25">
        <f>'Volume adjustments'!O$110</f>
        <v>0</v>
      </c>
      <c r="P59" s="25">
        <f>'Volume adjustments'!P$110</f>
        <v>0</v>
      </c>
      <c r="Q59" s="25">
        <f>'Volume adjustments'!Q$110</f>
        <v>0.30508437792432874</v>
      </c>
      <c r="R59" s="25">
        <f>'Volume adjustments'!R$110</f>
        <v>0</v>
      </c>
      <c r="S59" s="25">
        <f>'Volume adjustments'!S$110</f>
        <v>0</v>
      </c>
      <c r="T59" s="25">
        <f>'Volume adjustments'!T$110</f>
        <v>0</v>
      </c>
      <c r="U59" s="25">
        <f>'Volume adjustments'!U$110</f>
        <v>0</v>
      </c>
      <c r="V59" s="25">
        <f>'Volume adjustments'!V$110</f>
        <v>0</v>
      </c>
      <c r="W59" s="25">
        <f>'Volume adjustments'!W$110</f>
        <v>0</v>
      </c>
      <c r="X59" s="25">
        <f>'Volume adjustments'!X$110</f>
        <v>0</v>
      </c>
      <c r="Y59" s="25">
        <f>'Volume adjustments'!Y$110</f>
        <v>0</v>
      </c>
    </row>
    <row r="60" spans="3:27" x14ac:dyDescent="0.25">
      <c r="D60"/>
      <c r="E60" s="88"/>
      <c r="F60" t="s">
        <v>161</v>
      </c>
      <c r="G60" t="s">
        <v>167</v>
      </c>
      <c r="H60" s="51"/>
      <c r="J60" s="25">
        <f>'Volume adjustments'!J$121</f>
        <v>0.30508437792432874</v>
      </c>
      <c r="K60" s="25">
        <f>'Volume adjustments'!K$121</f>
        <v>0.30508437792432874</v>
      </c>
      <c r="L60" s="25">
        <f>'Volume adjustments'!L$121</f>
        <v>0.30508437792432874</v>
      </c>
      <c r="M60" s="25">
        <f>'Volume adjustments'!M$121</f>
        <v>0.30508437792432874</v>
      </c>
      <c r="N60" s="25">
        <f>'Volume adjustments'!N$121</f>
        <v>0.30508437792432874</v>
      </c>
      <c r="O60" s="25">
        <f>'Volume adjustments'!O$121</f>
        <v>0</v>
      </c>
      <c r="P60" s="25">
        <f>'Volume adjustments'!P$121</f>
        <v>0</v>
      </c>
      <c r="Q60" s="25">
        <f>'Volume adjustments'!Q$121</f>
        <v>0.30508437792432874</v>
      </c>
      <c r="R60" s="25">
        <f>'Volume adjustments'!R$121</f>
        <v>0</v>
      </c>
      <c r="S60" s="25">
        <f>'Volume adjustments'!S$121</f>
        <v>0</v>
      </c>
      <c r="T60" s="25">
        <f>'Volume adjustments'!T$121</f>
        <v>0</v>
      </c>
      <c r="U60" s="25">
        <f>'Volume adjustments'!U$121</f>
        <v>0</v>
      </c>
      <c r="V60" s="25">
        <f>'Volume adjustments'!V$121</f>
        <v>0</v>
      </c>
      <c r="W60" s="25">
        <f>'Volume adjustments'!W$121</f>
        <v>0</v>
      </c>
      <c r="X60" s="25">
        <f>'Volume adjustments'!X$121</f>
        <v>0</v>
      </c>
      <c r="Y60" s="25">
        <f>'Volume adjustments'!Y$121</f>
        <v>0</v>
      </c>
    </row>
    <row r="61" spans="3:27" x14ac:dyDescent="0.25">
      <c r="D61"/>
      <c r="E61" s="88"/>
      <c r="F61" s="37" t="s">
        <v>162</v>
      </c>
      <c r="G61" s="37" t="s">
        <v>167</v>
      </c>
      <c r="H61" s="215"/>
      <c r="I61" s="37"/>
      <c r="J61" s="141">
        <f>'Volume adjustments'!J$132</f>
        <v>0.30508437792432874</v>
      </c>
      <c r="K61" s="141">
        <f>'Volume adjustments'!K$132</f>
        <v>0.30508437792432874</v>
      </c>
      <c r="L61" s="141">
        <f>'Volume adjustments'!L$132</f>
        <v>0.30508437792432874</v>
      </c>
      <c r="M61" s="141">
        <f>'Volume adjustments'!M$132</f>
        <v>0.30508437792432874</v>
      </c>
      <c r="N61" s="141">
        <f>'Volume adjustments'!N$132</f>
        <v>0.30508437792432874</v>
      </c>
      <c r="O61" s="141">
        <f>'Volume adjustments'!O$132</f>
        <v>0</v>
      </c>
      <c r="P61" s="141">
        <f>'Volume adjustments'!P$132</f>
        <v>0</v>
      </c>
      <c r="Q61" s="141">
        <f>'Volume adjustments'!Q$132</f>
        <v>0.30508437792432874</v>
      </c>
      <c r="R61" s="141">
        <f>'Volume adjustments'!R$132</f>
        <v>0</v>
      </c>
      <c r="S61" s="141">
        <f>'Volume adjustments'!S$132</f>
        <v>0</v>
      </c>
      <c r="T61" s="141">
        <f>'Volume adjustments'!T$132</f>
        <v>0</v>
      </c>
      <c r="U61" s="141">
        <f>'Volume adjustments'!U$132</f>
        <v>0</v>
      </c>
      <c r="V61" s="141">
        <f>'Volume adjustments'!V$132</f>
        <v>0</v>
      </c>
      <c r="W61" s="141">
        <f>'Volume adjustments'!W$132</f>
        <v>0</v>
      </c>
      <c r="X61" s="141">
        <f>'Volume adjustments'!X$132</f>
        <v>0</v>
      </c>
      <c r="Y61" s="141">
        <f>'Volume adjustments'!Y$132</f>
        <v>0</v>
      </c>
    </row>
    <row r="62" spans="3:27" x14ac:dyDescent="0.25">
      <c r="D62" s="88"/>
      <c r="E62"/>
    </row>
    <row r="63" spans="3:27" x14ac:dyDescent="0.25">
      <c r="D63"/>
      <c r="E63" s="88" t="s">
        <v>860</v>
      </c>
      <c r="I63" t="s">
        <v>154</v>
      </c>
      <c r="AA63" t="s">
        <v>428</v>
      </c>
    </row>
    <row r="64" spans="3:27" x14ac:dyDescent="0.25">
      <c r="D64"/>
      <c r="E64" s="88"/>
      <c r="F64" s="23" t="s">
        <v>156</v>
      </c>
      <c r="G64" s="23" t="s">
        <v>167</v>
      </c>
      <c r="H64" s="174"/>
      <c r="I64" s="23"/>
      <c r="J64" s="107">
        <f>'Volume adjustments'!J$63</f>
        <v>0.44780257301891147</v>
      </c>
      <c r="K64" s="107">
        <f>'Volume adjustments'!K$63</f>
        <v>0.44780257301891147</v>
      </c>
      <c r="L64" s="107">
        <f>'Volume adjustments'!L$63</f>
        <v>0.44780257301891147</v>
      </c>
      <c r="M64" s="107">
        <f>'Volume adjustments'!M$63</f>
        <v>0.44780257301891147</v>
      </c>
      <c r="N64" s="107">
        <f>'Volume adjustments'!N$63</f>
        <v>0.44780257301891147</v>
      </c>
      <c r="O64" s="107">
        <f>'Volume adjustments'!O$63</f>
        <v>0.19276050688918686</v>
      </c>
      <c r="P64" s="107">
        <f>'Volume adjustments'!P$63</f>
        <v>8.4660626570948555E-2</v>
      </c>
      <c r="Q64" s="107">
        <f>'Volume adjustments'!Q$63</f>
        <v>0.44780257301891147</v>
      </c>
      <c r="R64" s="107">
        <f>'Volume adjustments'!R$63</f>
        <v>0</v>
      </c>
      <c r="S64" s="107">
        <f>'Volume adjustments'!S$63</f>
        <v>0</v>
      </c>
      <c r="T64" s="107">
        <f>'Volume adjustments'!T$63</f>
        <v>0</v>
      </c>
      <c r="U64" s="107">
        <f>'Volume adjustments'!U$63</f>
        <v>0</v>
      </c>
      <c r="V64" s="107">
        <f>'Volume adjustments'!V$63</f>
        <v>0</v>
      </c>
      <c r="W64" s="107">
        <f>'Volume adjustments'!W$63</f>
        <v>0</v>
      </c>
      <c r="X64" s="107">
        <f>'Volume adjustments'!X$63</f>
        <v>0</v>
      </c>
      <c r="Y64" s="107">
        <f>'Volume adjustments'!Y$63</f>
        <v>0</v>
      </c>
    </row>
    <row r="65" spans="3:27" x14ac:dyDescent="0.25">
      <c r="D65"/>
      <c r="E65" s="88"/>
      <c r="F65" t="s">
        <v>157</v>
      </c>
      <c r="G65" t="s">
        <v>167</v>
      </c>
      <c r="H65" s="51"/>
      <c r="J65" s="25">
        <f>'Volume adjustments'!J$74</f>
        <v>0.44780257301891147</v>
      </c>
      <c r="K65" s="25">
        <f>'Volume adjustments'!K$74</f>
        <v>0.44780257301891147</v>
      </c>
      <c r="L65" s="25">
        <f>'Volume adjustments'!L$74</f>
        <v>0.44780257301891147</v>
      </c>
      <c r="M65" s="25">
        <f>'Volume adjustments'!M$74</f>
        <v>0.44780257301891147</v>
      </c>
      <c r="N65" s="25">
        <f>'Volume adjustments'!N$74</f>
        <v>0.44780257301891147</v>
      </c>
      <c r="O65" s="25">
        <f>'Volume adjustments'!O$74</f>
        <v>0.19276050688918686</v>
      </c>
      <c r="P65" s="25">
        <f>'Volume adjustments'!P$74</f>
        <v>8.4660626570948555E-2</v>
      </c>
      <c r="Q65" s="25">
        <f>'Volume adjustments'!Q$74</f>
        <v>0.44780257301891147</v>
      </c>
      <c r="R65" s="25">
        <f>'Volume adjustments'!R$74</f>
        <v>0</v>
      </c>
      <c r="S65" s="25">
        <f>'Volume adjustments'!S$74</f>
        <v>0</v>
      </c>
      <c r="T65" s="25">
        <f>'Volume adjustments'!T$74</f>
        <v>0</v>
      </c>
      <c r="U65" s="25">
        <f>'Volume adjustments'!U$74</f>
        <v>0</v>
      </c>
      <c r="V65" s="25">
        <f>'Volume adjustments'!V$74</f>
        <v>0</v>
      </c>
      <c r="W65" s="25">
        <f>'Volume adjustments'!W$74</f>
        <v>0</v>
      </c>
      <c r="X65" s="25">
        <f>'Volume adjustments'!X$74</f>
        <v>0</v>
      </c>
      <c r="Y65" s="25">
        <f>'Volume adjustments'!Y$74</f>
        <v>0</v>
      </c>
    </row>
    <row r="66" spans="3:27" x14ac:dyDescent="0.25">
      <c r="D66"/>
      <c r="E66" s="88"/>
      <c r="F66" t="s">
        <v>158</v>
      </c>
      <c r="G66" t="s">
        <v>167</v>
      </c>
      <c r="H66" s="51"/>
      <c r="J66" s="25">
        <f>'Volume adjustments'!J$85</f>
        <v>0.44780257301891147</v>
      </c>
      <c r="K66" s="25">
        <f>'Volume adjustments'!K$85</f>
        <v>0.44780257301891147</v>
      </c>
      <c r="L66" s="25">
        <f>'Volume adjustments'!L$85</f>
        <v>0.44780257301891147</v>
      </c>
      <c r="M66" s="25">
        <f>'Volume adjustments'!M$85</f>
        <v>0.44780257301891147</v>
      </c>
      <c r="N66" s="25">
        <f>'Volume adjustments'!N$85</f>
        <v>0.44780257301891147</v>
      </c>
      <c r="O66" s="25">
        <f>'Volume adjustments'!O$85</f>
        <v>0.19276050688918686</v>
      </c>
      <c r="P66" s="25">
        <f>'Volume adjustments'!P$85</f>
        <v>8.4660626570948555E-2</v>
      </c>
      <c r="Q66" s="25">
        <f>'Volume adjustments'!Q$85</f>
        <v>0.44780257301891147</v>
      </c>
      <c r="R66" s="25">
        <f>'Volume adjustments'!R$85</f>
        <v>0</v>
      </c>
      <c r="S66" s="25">
        <f>'Volume adjustments'!S$85</f>
        <v>0</v>
      </c>
      <c r="T66" s="25">
        <f>'Volume adjustments'!T$85</f>
        <v>0</v>
      </c>
      <c r="U66" s="25">
        <f>'Volume adjustments'!U$85</f>
        <v>0</v>
      </c>
      <c r="V66" s="25">
        <f>'Volume adjustments'!V$85</f>
        <v>0</v>
      </c>
      <c r="W66" s="25">
        <f>'Volume adjustments'!W$85</f>
        <v>0</v>
      </c>
      <c r="X66" s="25">
        <f>'Volume adjustments'!X$85</f>
        <v>0</v>
      </c>
      <c r="Y66" s="25">
        <f>'Volume adjustments'!Y$85</f>
        <v>0</v>
      </c>
    </row>
    <row r="67" spans="3:27" x14ac:dyDescent="0.25">
      <c r="D67"/>
      <c r="E67" s="88"/>
      <c r="F67" t="s">
        <v>159</v>
      </c>
      <c r="G67" t="s">
        <v>167</v>
      </c>
      <c r="H67" s="51"/>
      <c r="J67" s="25">
        <f>'Volume adjustments'!J$100</f>
        <v>0.44780257301891147</v>
      </c>
      <c r="K67" s="25">
        <f>'Volume adjustments'!K$100</f>
        <v>0.44780257301891147</v>
      </c>
      <c r="L67" s="25">
        <f>'Volume adjustments'!L$100</f>
        <v>0.44780257301891147</v>
      </c>
      <c r="M67" s="25">
        <f>'Volume adjustments'!M$100</f>
        <v>0.44780257301891147</v>
      </c>
      <c r="N67" s="25">
        <f>'Volume adjustments'!N$100</f>
        <v>0.44780257301891147</v>
      </c>
      <c r="O67" s="25">
        <f>'Volume adjustments'!O$100</f>
        <v>0.19276050688918686</v>
      </c>
      <c r="P67" s="25">
        <f>'Volume adjustments'!P$100</f>
        <v>8.4660626570948555E-2</v>
      </c>
      <c r="Q67" s="25">
        <f>'Volume adjustments'!Q$100</f>
        <v>0.44780257301891147</v>
      </c>
      <c r="R67" s="25">
        <f>'Volume adjustments'!R$100</f>
        <v>1</v>
      </c>
      <c r="S67" s="25">
        <f>'Volume adjustments'!S$100</f>
        <v>1</v>
      </c>
      <c r="T67" s="25">
        <f>'Volume adjustments'!T$100</f>
        <v>1</v>
      </c>
      <c r="U67" s="25">
        <f>'Volume adjustments'!U$100</f>
        <v>1</v>
      </c>
      <c r="V67" s="25">
        <f>'Volume adjustments'!V$100</f>
        <v>1</v>
      </c>
      <c r="W67" s="25">
        <f>'Volume adjustments'!W$100</f>
        <v>1</v>
      </c>
      <c r="X67" s="25">
        <f>'Volume adjustments'!X$100</f>
        <v>1</v>
      </c>
      <c r="Y67" s="25">
        <f>'Volume adjustments'!Y$100</f>
        <v>1</v>
      </c>
    </row>
    <row r="68" spans="3:27" x14ac:dyDescent="0.25">
      <c r="D68"/>
      <c r="E68" s="88"/>
      <c r="F68" t="s">
        <v>160</v>
      </c>
      <c r="G68" t="s">
        <v>167</v>
      </c>
      <c r="H68" s="51"/>
      <c r="J68" s="25">
        <f>'Volume adjustments'!J$111</f>
        <v>0.44780257301891147</v>
      </c>
      <c r="K68" s="25">
        <f>'Volume adjustments'!K$111</f>
        <v>0.44780257301891147</v>
      </c>
      <c r="L68" s="25">
        <f>'Volume adjustments'!L$111</f>
        <v>0.44780257301891147</v>
      </c>
      <c r="M68" s="25">
        <f>'Volume adjustments'!M$111</f>
        <v>0.44780257301891147</v>
      </c>
      <c r="N68" s="25">
        <f>'Volume adjustments'!N$111</f>
        <v>0.44780257301891147</v>
      </c>
      <c r="O68" s="25">
        <f>'Volume adjustments'!O$111</f>
        <v>0.19276050688918686</v>
      </c>
      <c r="P68" s="25">
        <f>'Volume adjustments'!P$111</f>
        <v>8.4660626570948555E-2</v>
      </c>
      <c r="Q68" s="25">
        <f>'Volume adjustments'!Q$111</f>
        <v>0.44780257301891147</v>
      </c>
      <c r="R68" s="25">
        <f>'Volume adjustments'!R$111</f>
        <v>0</v>
      </c>
      <c r="S68" s="25">
        <f>'Volume adjustments'!S$111</f>
        <v>0</v>
      </c>
      <c r="T68" s="25">
        <f>'Volume adjustments'!T$111</f>
        <v>0</v>
      </c>
      <c r="U68" s="25">
        <f>'Volume adjustments'!U$111</f>
        <v>0</v>
      </c>
      <c r="V68" s="25">
        <f>'Volume adjustments'!V$111</f>
        <v>0</v>
      </c>
      <c r="W68" s="25">
        <f>'Volume adjustments'!W$111</f>
        <v>0</v>
      </c>
      <c r="X68" s="25">
        <f>'Volume adjustments'!X$111</f>
        <v>0</v>
      </c>
      <c r="Y68" s="25">
        <f>'Volume adjustments'!Y$111</f>
        <v>0</v>
      </c>
    </row>
    <row r="69" spans="3:27" x14ac:dyDescent="0.25">
      <c r="D69"/>
      <c r="E69" s="88"/>
      <c r="F69" t="s">
        <v>161</v>
      </c>
      <c r="G69" t="s">
        <v>167</v>
      </c>
      <c r="H69" s="51"/>
      <c r="J69" s="25">
        <f>'Volume adjustments'!J$122</f>
        <v>0.44780257301891147</v>
      </c>
      <c r="K69" s="25">
        <f>'Volume adjustments'!K$122</f>
        <v>0.44780257301891147</v>
      </c>
      <c r="L69" s="25">
        <f>'Volume adjustments'!L$122</f>
        <v>0.44780257301891147</v>
      </c>
      <c r="M69" s="25">
        <f>'Volume adjustments'!M$122</f>
        <v>0.44780257301891147</v>
      </c>
      <c r="N69" s="25">
        <f>'Volume adjustments'!N$122</f>
        <v>0.44780257301891147</v>
      </c>
      <c r="O69" s="25">
        <f>'Volume adjustments'!O$122</f>
        <v>0.19276050688918686</v>
      </c>
      <c r="P69" s="25">
        <f>'Volume adjustments'!P$122</f>
        <v>8.4660626570948555E-2</v>
      </c>
      <c r="Q69" s="25">
        <f>'Volume adjustments'!Q$122</f>
        <v>0.44780257301891147</v>
      </c>
      <c r="R69" s="25">
        <f>'Volume adjustments'!R$122</f>
        <v>0</v>
      </c>
      <c r="S69" s="25">
        <f>'Volume adjustments'!S$122</f>
        <v>0</v>
      </c>
      <c r="T69" s="25">
        <f>'Volume adjustments'!T$122</f>
        <v>0</v>
      </c>
      <c r="U69" s="25">
        <f>'Volume adjustments'!U$122</f>
        <v>0</v>
      </c>
      <c r="V69" s="25">
        <f>'Volume adjustments'!V$122</f>
        <v>0</v>
      </c>
      <c r="W69" s="25">
        <f>'Volume adjustments'!W$122</f>
        <v>0</v>
      </c>
      <c r="X69" s="25">
        <f>'Volume adjustments'!X$122</f>
        <v>0</v>
      </c>
      <c r="Y69" s="25">
        <f>'Volume adjustments'!Y$122</f>
        <v>0</v>
      </c>
    </row>
    <row r="70" spans="3:27" x14ac:dyDescent="0.25">
      <c r="D70"/>
      <c r="E70" s="88"/>
      <c r="F70" s="37" t="s">
        <v>162</v>
      </c>
      <c r="G70" s="37" t="s">
        <v>167</v>
      </c>
      <c r="H70" s="215"/>
      <c r="I70" s="37"/>
      <c r="J70" s="141">
        <f>'Volume adjustments'!J$133</f>
        <v>0.44780257301891147</v>
      </c>
      <c r="K70" s="141">
        <f>'Volume adjustments'!K$133</f>
        <v>0.44780257301891147</v>
      </c>
      <c r="L70" s="141">
        <f>'Volume adjustments'!L$133</f>
        <v>0.44780257301891147</v>
      </c>
      <c r="M70" s="141">
        <f>'Volume adjustments'!M$133</f>
        <v>0.44780257301891147</v>
      </c>
      <c r="N70" s="141">
        <f>'Volume adjustments'!N$133</f>
        <v>0.44780257301891147</v>
      </c>
      <c r="O70" s="141">
        <f>'Volume adjustments'!O$133</f>
        <v>0.19276050688918686</v>
      </c>
      <c r="P70" s="141">
        <f>'Volume adjustments'!P$133</f>
        <v>8.4660626570948555E-2</v>
      </c>
      <c r="Q70" s="141">
        <f>'Volume adjustments'!Q$133</f>
        <v>0.44780257301891147</v>
      </c>
      <c r="R70" s="141">
        <f>'Volume adjustments'!R$133</f>
        <v>0</v>
      </c>
      <c r="S70" s="141">
        <f>'Volume adjustments'!S$133</f>
        <v>0</v>
      </c>
      <c r="T70" s="141">
        <f>'Volume adjustments'!T$133</f>
        <v>0</v>
      </c>
      <c r="U70" s="141">
        <f>'Volume adjustments'!U$133</f>
        <v>0</v>
      </c>
      <c r="V70" s="141">
        <f>'Volume adjustments'!V$133</f>
        <v>0</v>
      </c>
      <c r="W70" s="141">
        <f>'Volume adjustments'!W$133</f>
        <v>0</v>
      </c>
      <c r="X70" s="141">
        <f>'Volume adjustments'!X$133</f>
        <v>0</v>
      </c>
      <c r="Y70" s="141">
        <f>'Volume adjustments'!Y$133</f>
        <v>0</v>
      </c>
    </row>
    <row r="71" spans="3:27" x14ac:dyDescent="0.25">
      <c r="D71" s="88"/>
      <c r="E71"/>
    </row>
    <row r="72" spans="3:27" x14ac:dyDescent="0.25">
      <c r="C72" s="31" t="str">
        <f ca="1">INDEX('Version control'!$H$34:$H$57,MATCH($A$1,'Version control'!$F$34:$F$57,0),1)&amp;"-E: Decimal places for rounding"</f>
        <v>Section 117-E: Decimal places for rounding</v>
      </c>
      <c r="D72" s="31"/>
      <c r="E72" s="31"/>
      <c r="F72" s="31"/>
      <c r="G72" s="31"/>
      <c r="H72" s="31"/>
      <c r="I72" s="31"/>
      <c r="J72" s="31"/>
      <c r="K72" s="31"/>
      <c r="L72" s="31"/>
      <c r="M72" s="31"/>
      <c r="N72" s="31"/>
      <c r="O72" s="31"/>
      <c r="P72" s="31"/>
      <c r="Q72" s="31"/>
      <c r="R72" s="31"/>
      <c r="S72" s="31"/>
      <c r="T72" s="31"/>
      <c r="U72" s="31"/>
      <c r="V72" s="31"/>
      <c r="W72" s="31"/>
      <c r="X72" s="31"/>
      <c r="Y72" s="31"/>
      <c r="Z72" s="31"/>
      <c r="AA72" s="31"/>
    </row>
    <row r="74" spans="3:27" x14ac:dyDescent="0.25">
      <c r="E74" s="32" t="s">
        <v>861</v>
      </c>
      <c r="I74" t="s">
        <v>154</v>
      </c>
      <c r="AA74" t="s">
        <v>155</v>
      </c>
    </row>
    <row r="75" spans="3:27" x14ac:dyDescent="0.25">
      <c r="C75" s="88"/>
      <c r="F75" s="23" t="s">
        <v>156</v>
      </c>
      <c r="G75" s="23" t="s">
        <v>149</v>
      </c>
      <c r="H75" s="174">
        <f>'Fixed inputs'!H25</f>
        <v>3</v>
      </c>
    </row>
    <row r="76" spans="3:27" x14ac:dyDescent="0.25">
      <c r="C76" s="88"/>
      <c r="F76" t="s">
        <v>157</v>
      </c>
      <c r="G76" t="s">
        <v>149</v>
      </c>
      <c r="H76" s="51">
        <f>'Fixed inputs'!H26</f>
        <v>3</v>
      </c>
    </row>
    <row r="77" spans="3:27" x14ac:dyDescent="0.25">
      <c r="C77" s="88"/>
      <c r="F77" t="s">
        <v>158</v>
      </c>
      <c r="G77" t="s">
        <v>149</v>
      </c>
      <c r="H77" s="51">
        <f>'Fixed inputs'!H27</f>
        <v>3</v>
      </c>
    </row>
    <row r="78" spans="3:27" x14ac:dyDescent="0.25">
      <c r="C78" s="88"/>
      <c r="F78" t="s">
        <v>159</v>
      </c>
      <c r="G78" t="s">
        <v>149</v>
      </c>
      <c r="H78" s="51">
        <f>'Fixed inputs'!H28</f>
        <v>2</v>
      </c>
    </row>
    <row r="79" spans="3:27" x14ac:dyDescent="0.25">
      <c r="C79" s="88"/>
      <c r="F79" t="s">
        <v>160</v>
      </c>
      <c r="G79" t="s">
        <v>149</v>
      </c>
      <c r="H79" s="51">
        <f>'Fixed inputs'!H29</f>
        <v>2</v>
      </c>
    </row>
    <row r="80" spans="3:27" x14ac:dyDescent="0.25">
      <c r="C80" s="88"/>
      <c r="F80" t="s">
        <v>161</v>
      </c>
      <c r="G80" t="s">
        <v>149</v>
      </c>
      <c r="H80" s="51">
        <f>'Fixed inputs'!H30</f>
        <v>2</v>
      </c>
    </row>
    <row r="81" spans="2:27" x14ac:dyDescent="0.25">
      <c r="C81" s="88"/>
      <c r="F81" s="37" t="s">
        <v>162</v>
      </c>
      <c r="G81" s="37" t="s">
        <v>149</v>
      </c>
      <c r="H81" s="215">
        <f>'Fixed inputs'!H31</f>
        <v>3</v>
      </c>
    </row>
    <row r="82" spans="2:27" x14ac:dyDescent="0.25">
      <c r="C82" s="88"/>
    </row>
    <row r="83" spans="2:27" x14ac:dyDescent="0.25">
      <c r="B83" s="30" t="s">
        <v>862</v>
      </c>
      <c r="C83" s="30"/>
      <c r="D83" s="30"/>
      <c r="E83" s="30"/>
      <c r="F83" s="30"/>
      <c r="G83" s="30"/>
      <c r="H83" s="30"/>
      <c r="I83" s="30"/>
      <c r="J83" s="30"/>
      <c r="K83" s="30"/>
      <c r="L83" s="30"/>
      <c r="M83" s="30"/>
      <c r="N83" s="30"/>
      <c r="O83" s="30"/>
      <c r="P83" s="30"/>
      <c r="Q83" s="30"/>
      <c r="R83" s="30"/>
      <c r="S83" s="30"/>
      <c r="T83" s="30"/>
      <c r="U83" s="30"/>
      <c r="V83" s="30"/>
      <c r="W83" s="30"/>
      <c r="X83" s="30"/>
      <c r="Y83" s="30"/>
      <c r="Z83" s="30"/>
      <c r="AA83" s="30"/>
    </row>
    <row r="85" spans="2:27" x14ac:dyDescent="0.25">
      <c r="C85" s="29" t="s">
        <v>863</v>
      </c>
    </row>
    <row r="87" spans="2:27" x14ac:dyDescent="0.25">
      <c r="C87" s="31" t="str">
        <f ca="1">INDEX('Version control'!$H$34:$H$57,MATCH($A$1,'Version control'!$F$34:$F$57,0),1)&amp;"-F: Tariff forecast, post-revenue matching"</f>
        <v>Section 117-F: Tariff forecast, post-revenue matching</v>
      </c>
      <c r="D87" s="31"/>
      <c r="E87" s="31"/>
      <c r="F87" s="31"/>
      <c r="G87" s="31"/>
      <c r="H87" s="31"/>
      <c r="I87" s="31"/>
      <c r="J87" s="31"/>
      <c r="K87" s="31"/>
      <c r="L87" s="31"/>
      <c r="M87" s="31"/>
      <c r="N87" s="31"/>
      <c r="O87" s="31"/>
      <c r="P87" s="31"/>
      <c r="Q87" s="31"/>
      <c r="R87" s="31"/>
      <c r="S87" s="31"/>
      <c r="T87" s="31"/>
      <c r="U87" s="31"/>
      <c r="V87" s="31"/>
      <c r="W87" s="31"/>
      <c r="X87" s="31"/>
      <c r="Y87" s="31"/>
      <c r="Z87" s="31"/>
      <c r="AA87" s="31"/>
    </row>
    <row r="89" spans="2:27" x14ac:dyDescent="0.25">
      <c r="D89"/>
      <c r="E89" s="32" t="s">
        <v>864</v>
      </c>
      <c r="F89" s="32"/>
    </row>
    <row r="90" spans="2:27" x14ac:dyDescent="0.25">
      <c r="D90"/>
      <c r="E90" s="88"/>
      <c r="F90" s="23" t="s">
        <v>156</v>
      </c>
      <c r="G90" s="23" t="s">
        <v>269</v>
      </c>
      <c r="H90" s="283"/>
      <c r="I90" s="267"/>
      <c r="J90" s="286">
        <f xml:space="preserve"> J20 + J32</f>
        <v>8.7427289359258715</v>
      </c>
      <c r="K90" s="286">
        <f t="shared" ref="K90:Y90" si="0" xml:space="preserve"> K20 + K32</f>
        <v>8.7427289359258715</v>
      </c>
      <c r="L90" s="286">
        <f t="shared" si="0"/>
        <v>7.690100579913139</v>
      </c>
      <c r="M90" s="286">
        <f t="shared" si="0"/>
        <v>7.690100579913139</v>
      </c>
      <c r="N90" s="286">
        <f t="shared" si="0"/>
        <v>5.8015064465092836</v>
      </c>
      <c r="O90" s="286">
        <f t="shared" si="0"/>
        <v>4.1836457819987078</v>
      </c>
      <c r="P90" s="286">
        <f t="shared" si="0"/>
        <v>2.9030072773222502</v>
      </c>
      <c r="Q90" s="286">
        <f t="shared" si="0"/>
        <v>21.762261688862051</v>
      </c>
      <c r="R90" s="286">
        <f t="shared" si="0"/>
        <v>-4.752126966792952</v>
      </c>
      <c r="S90" s="286">
        <f t="shared" si="0"/>
        <v>-4.1687283895347562</v>
      </c>
      <c r="T90" s="286">
        <f t="shared" si="0"/>
        <v>-4.752126966792952</v>
      </c>
      <c r="U90" s="286">
        <f t="shared" si="0"/>
        <v>-4.752126966792952</v>
      </c>
      <c r="V90" s="286">
        <f t="shared" si="0"/>
        <v>-4.1687283895347562</v>
      </c>
      <c r="W90" s="286">
        <f t="shared" si="0"/>
        <v>-4.1687283895347562</v>
      </c>
      <c r="X90" s="286">
        <f t="shared" si="0"/>
        <v>-2.7260556362386072</v>
      </c>
      <c r="Y90" s="286">
        <f t="shared" si="0"/>
        <v>-2.7260556362386072</v>
      </c>
      <c r="Z90" s="269"/>
      <c r="AA90" s="269"/>
    </row>
    <row r="91" spans="2:27" x14ac:dyDescent="0.25">
      <c r="D91"/>
      <c r="E91" s="88"/>
      <c r="F91" t="s">
        <v>157</v>
      </c>
      <c r="G91" t="s">
        <v>269</v>
      </c>
      <c r="H91" s="284"/>
      <c r="I91" s="269"/>
      <c r="J91" s="287">
        <f t="shared" ref="J91:Y91" si="1" xml:space="preserve"> J21 + J33</f>
        <v>1.8681379522619994</v>
      </c>
      <c r="K91" s="287">
        <f t="shared" si="1"/>
        <v>1.8681379522619994</v>
      </c>
      <c r="L91" s="287">
        <f t="shared" si="1"/>
        <v>1.735098829312882</v>
      </c>
      <c r="M91" s="287">
        <f t="shared" si="1"/>
        <v>1.735098829312882</v>
      </c>
      <c r="N91" s="287">
        <f t="shared" si="1"/>
        <v>1.4732733392414865</v>
      </c>
      <c r="O91" s="287">
        <f t="shared" si="1"/>
        <v>1.2420835427786452</v>
      </c>
      <c r="P91" s="287">
        <f t="shared" si="1"/>
        <v>1.065117877361542</v>
      </c>
      <c r="Q91" s="287">
        <f t="shared" si="1"/>
        <v>2.4874178657210075</v>
      </c>
      <c r="R91" s="287">
        <f t="shared" si="1"/>
        <v>-0.6006097025542575</v>
      </c>
      <c r="S91" s="287">
        <f t="shared" si="1"/>
        <v>-0.51495336021881366</v>
      </c>
      <c r="T91" s="287">
        <f t="shared" si="1"/>
        <v>-0.6006097025542575</v>
      </c>
      <c r="U91" s="287">
        <f t="shared" si="1"/>
        <v>-0.6006097025542575</v>
      </c>
      <c r="V91" s="287">
        <f t="shared" si="1"/>
        <v>-0.51495336021881366</v>
      </c>
      <c r="W91" s="287">
        <f t="shared" si="1"/>
        <v>-0.51495336021881366</v>
      </c>
      <c r="X91" s="287">
        <f t="shared" si="1"/>
        <v>-0.29638866966229255</v>
      </c>
      <c r="Y91" s="287">
        <f t="shared" si="1"/>
        <v>-0.29638866966229255</v>
      </c>
      <c r="Z91" s="269"/>
      <c r="AA91" s="269"/>
    </row>
    <row r="92" spans="2:27" x14ac:dyDescent="0.25">
      <c r="D92"/>
      <c r="E92" s="88"/>
      <c r="F92" t="s">
        <v>158</v>
      </c>
      <c r="G92" t="s">
        <v>269</v>
      </c>
      <c r="H92" s="284"/>
      <c r="I92" s="269"/>
      <c r="J92" s="287">
        <f t="shared" ref="J92:Y92" si="2" xml:space="preserve"> J22 + J34</f>
        <v>0.93494192872012793</v>
      </c>
      <c r="K92" s="287">
        <f t="shared" si="2"/>
        <v>0.93494192872012793</v>
      </c>
      <c r="L92" s="287">
        <f t="shared" si="2"/>
        <v>0.92673307096440571</v>
      </c>
      <c r="M92" s="287">
        <f t="shared" si="2"/>
        <v>0.92673307096440571</v>
      </c>
      <c r="N92" s="287">
        <f t="shared" si="2"/>
        <v>0.90966625843415272</v>
      </c>
      <c r="O92" s="287">
        <f t="shared" si="2"/>
        <v>0.89434860670423133</v>
      </c>
      <c r="P92" s="287">
        <f t="shared" si="2"/>
        <v>0.88284377030681016</v>
      </c>
      <c r="Q92" s="287">
        <f t="shared" si="2"/>
        <v>1.7204661928768328</v>
      </c>
      <c r="R92" s="287">
        <f t="shared" si="2"/>
        <v>-3.7059171059480152E-2</v>
      </c>
      <c r="S92" s="287">
        <f t="shared" si="2"/>
        <v>-3.1304146471503695E-2</v>
      </c>
      <c r="T92" s="287">
        <f t="shared" si="2"/>
        <v>-3.7059171059480152E-2</v>
      </c>
      <c r="U92" s="287">
        <f t="shared" si="2"/>
        <v>-3.7059171059480152E-2</v>
      </c>
      <c r="V92" s="287">
        <f t="shared" si="2"/>
        <v>-3.1304146471503695E-2</v>
      </c>
      <c r="W92" s="287">
        <f t="shared" si="2"/>
        <v>-3.1304146471503695E-2</v>
      </c>
      <c r="X92" s="287">
        <f t="shared" si="2"/>
        <v>-1.6392243650649556E-2</v>
      </c>
      <c r="Y92" s="287">
        <f t="shared" si="2"/>
        <v>-1.6392243650649556E-2</v>
      </c>
      <c r="Z92" s="269"/>
      <c r="AA92" s="269"/>
    </row>
    <row r="93" spans="2:27" x14ac:dyDescent="0.25">
      <c r="D93"/>
      <c r="E93" s="88"/>
      <c r="F93" t="s">
        <v>159</v>
      </c>
      <c r="G93" t="s">
        <v>270</v>
      </c>
      <c r="H93" s="51"/>
      <c r="J93" s="98">
        <f t="shared" ref="J93:Y93" si="3" xml:space="preserve"> J23 + J35</f>
        <v>3.5774503749484534</v>
      </c>
      <c r="K93" s="98">
        <f t="shared" si="3"/>
        <v>0</v>
      </c>
      <c r="L93" s="98">
        <f t="shared" si="3"/>
        <v>7.2796214285118062</v>
      </c>
      <c r="M93" s="98">
        <f t="shared" si="3"/>
        <v>0</v>
      </c>
      <c r="N93" s="98">
        <f t="shared" si="3"/>
        <v>11.209229102763059</v>
      </c>
      <c r="O93" s="98">
        <f t="shared" si="3"/>
        <v>8.750007900649587</v>
      </c>
      <c r="P93" s="98">
        <f t="shared" si="3"/>
        <v>80.778634860261405</v>
      </c>
      <c r="Q93" s="98">
        <f t="shared" si="3"/>
        <v>0</v>
      </c>
      <c r="R93" s="98">
        <f t="shared" si="3"/>
        <v>0</v>
      </c>
      <c r="S93" s="98">
        <f t="shared" si="3"/>
        <v>0</v>
      </c>
      <c r="T93" s="98">
        <f t="shared" si="3"/>
        <v>0</v>
      </c>
      <c r="U93" s="98">
        <f t="shared" si="3"/>
        <v>0</v>
      </c>
      <c r="V93" s="98">
        <f t="shared" si="3"/>
        <v>0</v>
      </c>
      <c r="W93" s="98">
        <f t="shared" si="3"/>
        <v>0</v>
      </c>
      <c r="X93" s="98">
        <f t="shared" si="3"/>
        <v>50.554717600698972</v>
      </c>
      <c r="Y93" s="98">
        <f t="shared" si="3"/>
        <v>50.554717600698972</v>
      </c>
    </row>
    <row r="94" spans="2:27" x14ac:dyDescent="0.25">
      <c r="D94"/>
      <c r="E94" s="88"/>
      <c r="F94" t="s">
        <v>160</v>
      </c>
      <c r="G94" t="s">
        <v>271</v>
      </c>
      <c r="H94" s="51"/>
      <c r="J94" s="98">
        <f t="shared" ref="J94:Y94" si="4" xml:space="preserve"> J24 + J36</f>
        <v>0</v>
      </c>
      <c r="K94" s="98">
        <f t="shared" si="4"/>
        <v>0</v>
      </c>
      <c r="L94" s="98">
        <f t="shared" si="4"/>
        <v>0</v>
      </c>
      <c r="M94" s="98">
        <f t="shared" si="4"/>
        <v>0</v>
      </c>
      <c r="N94" s="98">
        <f t="shared" si="4"/>
        <v>2.9022773697333371</v>
      </c>
      <c r="O94" s="98">
        <f t="shared" si="4"/>
        <v>3.5192649102564451</v>
      </c>
      <c r="P94" s="98">
        <f t="shared" si="4"/>
        <v>4.2758402624206795</v>
      </c>
      <c r="Q94" s="98">
        <f t="shared" si="4"/>
        <v>0</v>
      </c>
      <c r="R94" s="98">
        <f t="shared" si="4"/>
        <v>0</v>
      </c>
      <c r="S94" s="98">
        <f t="shared" si="4"/>
        <v>0</v>
      </c>
      <c r="T94" s="98">
        <f t="shared" si="4"/>
        <v>0</v>
      </c>
      <c r="U94" s="98">
        <f t="shared" si="4"/>
        <v>0</v>
      </c>
      <c r="V94" s="98">
        <f t="shared" si="4"/>
        <v>0</v>
      </c>
      <c r="W94" s="98">
        <f t="shared" si="4"/>
        <v>0</v>
      </c>
      <c r="X94" s="98">
        <f t="shared" si="4"/>
        <v>0</v>
      </c>
      <c r="Y94" s="98">
        <f t="shared" si="4"/>
        <v>0</v>
      </c>
    </row>
    <row r="95" spans="2:27" x14ac:dyDescent="0.25">
      <c r="D95"/>
      <c r="E95" s="88"/>
      <c r="F95" t="s">
        <v>161</v>
      </c>
      <c r="G95" t="s">
        <v>271</v>
      </c>
      <c r="H95" s="51"/>
      <c r="J95" s="98">
        <f t="shared" ref="J95:Y95" si="5" xml:space="preserve"> J25 + J37</f>
        <v>0</v>
      </c>
      <c r="K95" s="98">
        <f t="shared" si="5"/>
        <v>0</v>
      </c>
      <c r="L95" s="98">
        <f t="shared" si="5"/>
        <v>0</v>
      </c>
      <c r="M95" s="98">
        <f t="shared" si="5"/>
        <v>0</v>
      </c>
      <c r="N95" s="98">
        <f t="shared" si="5"/>
        <v>5.7538465988133698</v>
      </c>
      <c r="O95" s="98">
        <f t="shared" si="5"/>
        <v>5.3097024839345712</v>
      </c>
      <c r="P95" s="98">
        <f t="shared" si="5"/>
        <v>6.1842114491768658</v>
      </c>
      <c r="Q95" s="98">
        <f t="shared" si="5"/>
        <v>0</v>
      </c>
      <c r="R95" s="98">
        <f t="shared" si="5"/>
        <v>0</v>
      </c>
      <c r="S95" s="98">
        <f t="shared" si="5"/>
        <v>0</v>
      </c>
      <c r="T95" s="98">
        <f t="shared" si="5"/>
        <v>0</v>
      </c>
      <c r="U95" s="98">
        <f t="shared" si="5"/>
        <v>0</v>
      </c>
      <c r="V95" s="98">
        <f t="shared" si="5"/>
        <v>0</v>
      </c>
      <c r="W95" s="98">
        <f t="shared" si="5"/>
        <v>0</v>
      </c>
      <c r="X95" s="98">
        <f t="shared" si="5"/>
        <v>0</v>
      </c>
      <c r="Y95" s="98">
        <f t="shared" si="5"/>
        <v>0</v>
      </c>
    </row>
    <row r="96" spans="2:27" x14ac:dyDescent="0.25">
      <c r="D96"/>
      <c r="E96" s="88"/>
      <c r="F96" s="37" t="s">
        <v>162</v>
      </c>
      <c r="G96" s="37" t="s">
        <v>272</v>
      </c>
      <c r="H96" s="288"/>
      <c r="I96" s="273"/>
      <c r="J96" s="289">
        <f t="shared" ref="J96:Y96" si="6" xml:space="preserve"> J26 + J38</f>
        <v>0</v>
      </c>
      <c r="K96" s="289">
        <f t="shared" si="6"/>
        <v>0</v>
      </c>
      <c r="L96" s="289">
        <f t="shared" si="6"/>
        <v>0</v>
      </c>
      <c r="M96" s="289">
        <f t="shared" si="6"/>
        <v>0</v>
      </c>
      <c r="N96" s="289">
        <f t="shared" si="6"/>
        <v>0.15692255620699452</v>
      </c>
      <c r="O96" s="289">
        <f t="shared" si="6"/>
        <v>0.11131765254811224</v>
      </c>
      <c r="P96" s="289">
        <f t="shared" si="6"/>
        <v>5.7053720558470841E-2</v>
      </c>
      <c r="Q96" s="289">
        <f t="shared" si="6"/>
        <v>0</v>
      </c>
      <c r="R96" s="289">
        <f t="shared" si="6"/>
        <v>0</v>
      </c>
      <c r="S96" s="289">
        <f t="shared" si="6"/>
        <v>0</v>
      </c>
      <c r="T96" s="289">
        <f t="shared" si="6"/>
        <v>0.15558506248767914</v>
      </c>
      <c r="U96" s="289">
        <f t="shared" si="6"/>
        <v>0</v>
      </c>
      <c r="V96" s="289">
        <f t="shared" si="6"/>
        <v>0.13073382681730653</v>
      </c>
      <c r="W96" s="289">
        <f t="shared" si="6"/>
        <v>0</v>
      </c>
      <c r="X96" s="289">
        <f t="shared" si="6"/>
        <v>0.10505458869968366</v>
      </c>
      <c r="Y96" s="289">
        <f t="shared" si="6"/>
        <v>0</v>
      </c>
      <c r="Z96" s="269"/>
      <c r="AA96" s="269"/>
    </row>
    <row r="97" spans="3:27" x14ac:dyDescent="0.25">
      <c r="D97" s="32"/>
      <c r="E97"/>
      <c r="J97" s="89"/>
      <c r="K97" s="89"/>
      <c r="L97" s="89"/>
      <c r="M97" s="89"/>
      <c r="N97" s="89"/>
      <c r="O97" s="89"/>
      <c r="P97" s="89"/>
      <c r="Q97" s="89"/>
      <c r="R97" s="89"/>
      <c r="S97" s="89"/>
      <c r="T97" s="89"/>
      <c r="U97" s="89"/>
      <c r="V97" s="89"/>
      <c r="W97" s="89"/>
      <c r="X97" s="89"/>
      <c r="Y97" s="89"/>
    </row>
    <row r="98" spans="3:27" x14ac:dyDescent="0.25">
      <c r="C98" s="31" t="str">
        <f ca="1">INDEX('Version control'!$H$34:$H$57,MATCH($A$1,'Version control'!$F$34:$F$57,0),1)&amp;"-G: Tariff forecast, post-adders &amp; discounting"</f>
        <v>Section 117-G: Tariff forecast, post-adders &amp; discounting</v>
      </c>
      <c r="D98" s="31"/>
      <c r="E98" s="31"/>
      <c r="F98" s="31"/>
      <c r="G98" s="31"/>
      <c r="H98" s="31"/>
      <c r="I98" s="31"/>
      <c r="J98" s="90"/>
      <c r="K98" s="90"/>
      <c r="L98" s="90"/>
      <c r="M98" s="90"/>
      <c r="N98" s="90"/>
      <c r="O98" s="90"/>
      <c r="P98" s="90"/>
      <c r="Q98" s="90"/>
      <c r="R98" s="90"/>
      <c r="S98" s="90"/>
      <c r="T98" s="90"/>
      <c r="U98" s="90"/>
      <c r="V98" s="90"/>
      <c r="W98" s="90"/>
      <c r="X98" s="90"/>
      <c r="Y98" s="90"/>
      <c r="Z98" s="31"/>
      <c r="AA98" s="31"/>
    </row>
    <row r="99" spans="3:27" x14ac:dyDescent="0.25">
      <c r="J99" s="89"/>
      <c r="K99" s="89"/>
      <c r="L99" s="89"/>
      <c r="M99" s="89"/>
      <c r="N99" s="89"/>
      <c r="O99" s="89"/>
      <c r="P99" s="89"/>
      <c r="Q99" s="89"/>
      <c r="R99" s="89"/>
      <c r="S99" s="89"/>
      <c r="T99" s="89"/>
      <c r="U99" s="89"/>
      <c r="V99" s="89"/>
      <c r="W99" s="89"/>
      <c r="X99" s="89"/>
      <c r="Y99" s="89"/>
    </row>
    <row r="100" spans="3:27" x14ac:dyDescent="0.25">
      <c r="E100" s="32" t="s">
        <v>1052</v>
      </c>
      <c r="F100" s="32"/>
      <c r="I100" t="s">
        <v>154</v>
      </c>
      <c r="J100" s="89"/>
      <c r="K100" s="89"/>
      <c r="L100" s="89"/>
      <c r="M100" s="89"/>
      <c r="N100" s="89"/>
      <c r="O100" s="89"/>
      <c r="P100" s="89"/>
      <c r="Q100" s="89"/>
      <c r="R100" s="89"/>
      <c r="S100" s="89"/>
      <c r="T100" s="89"/>
      <c r="U100" s="89"/>
      <c r="V100" s="89"/>
      <c r="W100" s="89"/>
      <c r="X100" s="89"/>
      <c r="Y100" s="89"/>
      <c r="AA100" t="s">
        <v>1066</v>
      </c>
    </row>
    <row r="101" spans="3:27" x14ac:dyDescent="0.25">
      <c r="E101" s="88"/>
      <c r="F101" s="23" t="s">
        <v>156</v>
      </c>
      <c r="G101" s="23" t="s">
        <v>269</v>
      </c>
      <c r="H101" s="283"/>
      <c r="I101" s="267"/>
      <c r="J101" s="339">
        <f xml:space="preserve"> J90 + J44</f>
        <v>8.7427289359258715</v>
      </c>
      <c r="K101" s="339">
        <f t="shared" ref="K101:Y101" si="7" xml:space="preserve"> K90 + K44</f>
        <v>8.7427289359258715</v>
      </c>
      <c r="L101" s="339">
        <f t="shared" si="7"/>
        <v>7.690100579913139</v>
      </c>
      <c r="M101" s="339">
        <f t="shared" si="7"/>
        <v>7.690100579913139</v>
      </c>
      <c r="N101" s="339">
        <f t="shared" si="7"/>
        <v>5.8015064465092836</v>
      </c>
      <c r="O101" s="339">
        <f t="shared" si="7"/>
        <v>4.1836457819987078</v>
      </c>
      <c r="P101" s="339">
        <f t="shared" si="7"/>
        <v>2.9030072773222502</v>
      </c>
      <c r="Q101" s="339">
        <f t="shared" si="7"/>
        <v>21.762261688862051</v>
      </c>
      <c r="R101" s="339">
        <f t="shared" si="7"/>
        <v>-4.752126966792952</v>
      </c>
      <c r="S101" s="339">
        <f t="shared" si="7"/>
        <v>-4.1687283895347562</v>
      </c>
      <c r="T101" s="339">
        <f t="shared" si="7"/>
        <v>-4.752126966792952</v>
      </c>
      <c r="U101" s="339">
        <f t="shared" si="7"/>
        <v>-4.752126966792952</v>
      </c>
      <c r="V101" s="339">
        <f t="shared" si="7"/>
        <v>-4.1687283895347562</v>
      </c>
      <c r="W101" s="339">
        <f t="shared" si="7"/>
        <v>-4.1687283895347562</v>
      </c>
      <c r="X101" s="339">
        <f t="shared" si="7"/>
        <v>-2.7260556362386072</v>
      </c>
      <c r="Y101" s="339">
        <f t="shared" si="7"/>
        <v>-2.7260556362386072</v>
      </c>
      <c r="Z101" s="269"/>
      <c r="AA101" s="269"/>
    </row>
    <row r="102" spans="3:27" x14ac:dyDescent="0.25">
      <c r="E102" s="88"/>
      <c r="F102" t="s">
        <v>157</v>
      </c>
      <c r="G102" t="s">
        <v>269</v>
      </c>
      <c r="H102" s="284"/>
      <c r="I102" s="269"/>
      <c r="J102" s="340">
        <f t="shared" ref="J102:Y102" si="8" xml:space="preserve"> J91 + J45</f>
        <v>1.8681379522619994</v>
      </c>
      <c r="K102" s="340">
        <f t="shared" si="8"/>
        <v>1.8681379522619994</v>
      </c>
      <c r="L102" s="340">
        <f t="shared" si="8"/>
        <v>1.735098829312882</v>
      </c>
      <c r="M102" s="340">
        <f t="shared" si="8"/>
        <v>1.735098829312882</v>
      </c>
      <c r="N102" s="340">
        <f t="shared" si="8"/>
        <v>1.4732733392414865</v>
      </c>
      <c r="O102" s="340">
        <f t="shared" si="8"/>
        <v>1.2420835427786452</v>
      </c>
      <c r="P102" s="340">
        <f t="shared" si="8"/>
        <v>1.065117877361542</v>
      </c>
      <c r="Q102" s="340">
        <f t="shared" si="8"/>
        <v>2.4874178657210075</v>
      </c>
      <c r="R102" s="340">
        <f t="shared" si="8"/>
        <v>-0.6006097025542575</v>
      </c>
      <c r="S102" s="340">
        <f t="shared" si="8"/>
        <v>-0.51495336021881366</v>
      </c>
      <c r="T102" s="340">
        <f t="shared" si="8"/>
        <v>-0.6006097025542575</v>
      </c>
      <c r="U102" s="340">
        <f t="shared" si="8"/>
        <v>-0.6006097025542575</v>
      </c>
      <c r="V102" s="340">
        <f t="shared" si="8"/>
        <v>-0.51495336021881366</v>
      </c>
      <c r="W102" s="340">
        <f t="shared" si="8"/>
        <v>-0.51495336021881366</v>
      </c>
      <c r="X102" s="340">
        <f t="shared" si="8"/>
        <v>-0.29638866966229255</v>
      </c>
      <c r="Y102" s="340">
        <f t="shared" si="8"/>
        <v>-0.29638866966229255</v>
      </c>
      <c r="Z102" s="269"/>
      <c r="AA102" s="269"/>
    </row>
    <row r="103" spans="3:27" x14ac:dyDescent="0.25">
      <c r="E103" s="88"/>
      <c r="F103" t="s">
        <v>158</v>
      </c>
      <c r="G103" t="s">
        <v>269</v>
      </c>
      <c r="H103" s="284"/>
      <c r="I103" s="269"/>
      <c r="J103" s="340">
        <f t="shared" ref="J103:Y103" si="9" xml:space="preserve"> J92 + J46</f>
        <v>0.93494192872012793</v>
      </c>
      <c r="K103" s="340">
        <f t="shared" si="9"/>
        <v>0.93494192872012793</v>
      </c>
      <c r="L103" s="340">
        <f t="shared" si="9"/>
        <v>0.92673307096440571</v>
      </c>
      <c r="M103" s="340">
        <f t="shared" si="9"/>
        <v>0.92673307096440571</v>
      </c>
      <c r="N103" s="340">
        <f t="shared" si="9"/>
        <v>0.90966625843415272</v>
      </c>
      <c r="O103" s="340">
        <f t="shared" si="9"/>
        <v>0.89434860670423133</v>
      </c>
      <c r="P103" s="340">
        <f t="shared" si="9"/>
        <v>0.88284377030681016</v>
      </c>
      <c r="Q103" s="340">
        <f t="shared" si="9"/>
        <v>1.7204661928768328</v>
      </c>
      <c r="R103" s="340">
        <f t="shared" si="9"/>
        <v>-3.7059171059480152E-2</v>
      </c>
      <c r="S103" s="340">
        <f t="shared" si="9"/>
        <v>-3.1304146471503695E-2</v>
      </c>
      <c r="T103" s="340">
        <f t="shared" si="9"/>
        <v>-3.7059171059480152E-2</v>
      </c>
      <c r="U103" s="340">
        <f t="shared" si="9"/>
        <v>-3.7059171059480152E-2</v>
      </c>
      <c r="V103" s="340">
        <f t="shared" si="9"/>
        <v>-3.1304146471503695E-2</v>
      </c>
      <c r="W103" s="340">
        <f t="shared" si="9"/>
        <v>-3.1304146471503695E-2</v>
      </c>
      <c r="X103" s="340">
        <f t="shared" si="9"/>
        <v>-1.6392243650649556E-2</v>
      </c>
      <c r="Y103" s="340">
        <f t="shared" si="9"/>
        <v>-1.6392243650649556E-2</v>
      </c>
      <c r="Z103" s="269"/>
      <c r="AA103" s="269"/>
    </row>
    <row r="104" spans="3:27" x14ac:dyDescent="0.25">
      <c r="E104" s="88"/>
      <c r="F104" t="s">
        <v>159</v>
      </c>
      <c r="G104" t="s">
        <v>270</v>
      </c>
      <c r="H104" s="51"/>
      <c r="J104" s="341">
        <f t="shared" ref="J104:Y104" si="10" xml:space="preserve"> J93 + J47</f>
        <v>3.7433630471145274</v>
      </c>
      <c r="K104" s="341">
        <f t="shared" si="10"/>
        <v>0</v>
      </c>
      <c r="L104" s="341">
        <f t="shared" si="10"/>
        <v>7.4367932771650196</v>
      </c>
      <c r="M104" s="341">
        <f t="shared" si="10"/>
        <v>0</v>
      </c>
      <c r="N104" s="341">
        <f t="shared" si="10"/>
        <v>11.366400951416272</v>
      </c>
      <c r="O104" s="341">
        <f t="shared" si="10"/>
        <v>8.9071797493028004</v>
      </c>
      <c r="P104" s="341">
        <f t="shared" si="10"/>
        <v>80.935806708914612</v>
      </c>
      <c r="Q104" s="341">
        <f t="shared" si="10"/>
        <v>0</v>
      </c>
      <c r="R104" s="341">
        <f t="shared" si="10"/>
        <v>0</v>
      </c>
      <c r="S104" s="341">
        <f t="shared" si="10"/>
        <v>0</v>
      </c>
      <c r="T104" s="341">
        <f t="shared" si="10"/>
        <v>0</v>
      </c>
      <c r="U104" s="341">
        <f t="shared" si="10"/>
        <v>0</v>
      </c>
      <c r="V104" s="341">
        <f t="shared" si="10"/>
        <v>0</v>
      </c>
      <c r="W104" s="341">
        <f t="shared" si="10"/>
        <v>0</v>
      </c>
      <c r="X104" s="341">
        <f t="shared" si="10"/>
        <v>50.554717600698972</v>
      </c>
      <c r="Y104" s="341">
        <f t="shared" si="10"/>
        <v>50.554717600698972</v>
      </c>
    </row>
    <row r="105" spans="3:27" x14ac:dyDescent="0.25">
      <c r="E105" s="88"/>
      <c r="F105" t="s">
        <v>160</v>
      </c>
      <c r="G105" t="s">
        <v>271</v>
      </c>
      <c r="H105" s="51"/>
      <c r="J105" s="341">
        <f t="shared" ref="J105:Y105" si="11" xml:space="preserve"> J94 + J48</f>
        <v>0</v>
      </c>
      <c r="K105" s="341">
        <f t="shared" si="11"/>
        <v>0</v>
      </c>
      <c r="L105" s="341">
        <f t="shared" si="11"/>
        <v>0</v>
      </c>
      <c r="M105" s="341">
        <f t="shared" si="11"/>
        <v>0</v>
      </c>
      <c r="N105" s="341">
        <f t="shared" si="11"/>
        <v>2.9022773697333371</v>
      </c>
      <c r="O105" s="341">
        <f t="shared" si="11"/>
        <v>3.5192649102564451</v>
      </c>
      <c r="P105" s="341">
        <f t="shared" si="11"/>
        <v>4.2758402624206795</v>
      </c>
      <c r="Q105" s="341">
        <f t="shared" si="11"/>
        <v>0</v>
      </c>
      <c r="R105" s="341">
        <f t="shared" si="11"/>
        <v>0</v>
      </c>
      <c r="S105" s="341">
        <f t="shared" si="11"/>
        <v>0</v>
      </c>
      <c r="T105" s="341">
        <f t="shared" si="11"/>
        <v>0</v>
      </c>
      <c r="U105" s="341">
        <f t="shared" si="11"/>
        <v>0</v>
      </c>
      <c r="V105" s="341">
        <f t="shared" si="11"/>
        <v>0</v>
      </c>
      <c r="W105" s="341">
        <f t="shared" si="11"/>
        <v>0</v>
      </c>
      <c r="X105" s="341">
        <f t="shared" si="11"/>
        <v>0</v>
      </c>
      <c r="Y105" s="341">
        <f t="shared" si="11"/>
        <v>0</v>
      </c>
    </row>
    <row r="106" spans="3:27" x14ac:dyDescent="0.25">
      <c r="E106" s="88"/>
      <c r="F106" t="s">
        <v>161</v>
      </c>
      <c r="G106" t="s">
        <v>271</v>
      </c>
      <c r="H106" s="51"/>
      <c r="J106" s="341">
        <f t="shared" ref="J106:Y106" si="12" xml:space="preserve"> J95 + J49</f>
        <v>0</v>
      </c>
      <c r="K106" s="341">
        <f t="shared" si="12"/>
        <v>0</v>
      </c>
      <c r="L106" s="341">
        <f t="shared" si="12"/>
        <v>0</v>
      </c>
      <c r="M106" s="341">
        <f t="shared" si="12"/>
        <v>0</v>
      </c>
      <c r="N106" s="341">
        <f t="shared" si="12"/>
        <v>5.7538465988133698</v>
      </c>
      <c r="O106" s="341">
        <f t="shared" si="12"/>
        <v>5.3097024839345712</v>
      </c>
      <c r="P106" s="341">
        <f t="shared" si="12"/>
        <v>6.1842114491768658</v>
      </c>
      <c r="Q106" s="341">
        <f t="shared" si="12"/>
        <v>0</v>
      </c>
      <c r="R106" s="341">
        <f t="shared" si="12"/>
        <v>0</v>
      </c>
      <c r="S106" s="341">
        <f t="shared" si="12"/>
        <v>0</v>
      </c>
      <c r="T106" s="341">
        <f t="shared" si="12"/>
        <v>0</v>
      </c>
      <c r="U106" s="341">
        <f t="shared" si="12"/>
        <v>0</v>
      </c>
      <c r="V106" s="341">
        <f t="shared" si="12"/>
        <v>0</v>
      </c>
      <c r="W106" s="341">
        <f t="shared" si="12"/>
        <v>0</v>
      </c>
      <c r="X106" s="341">
        <f t="shared" si="12"/>
        <v>0</v>
      </c>
      <c r="Y106" s="341">
        <f t="shared" si="12"/>
        <v>0</v>
      </c>
    </row>
    <row r="107" spans="3:27" x14ac:dyDescent="0.25">
      <c r="E107" s="88"/>
      <c r="F107" s="37" t="s">
        <v>162</v>
      </c>
      <c r="G107" s="37" t="s">
        <v>272</v>
      </c>
      <c r="H107" s="288"/>
      <c r="I107" s="273"/>
      <c r="J107" s="289">
        <f t="shared" ref="J107:Y107" si="13" xml:space="preserve"> J96 + J50</f>
        <v>0</v>
      </c>
      <c r="K107" s="289">
        <f t="shared" si="13"/>
        <v>0</v>
      </c>
      <c r="L107" s="289">
        <f t="shared" si="13"/>
        <v>0</v>
      </c>
      <c r="M107" s="289">
        <f t="shared" si="13"/>
        <v>0</v>
      </c>
      <c r="N107" s="289">
        <f t="shared" si="13"/>
        <v>0.15692255620699452</v>
      </c>
      <c r="O107" s="289">
        <f t="shared" si="13"/>
        <v>0.11131765254811224</v>
      </c>
      <c r="P107" s="289">
        <f t="shared" si="13"/>
        <v>5.7053720558470841E-2</v>
      </c>
      <c r="Q107" s="289">
        <f t="shared" si="13"/>
        <v>0</v>
      </c>
      <c r="R107" s="289">
        <f t="shared" si="13"/>
        <v>0</v>
      </c>
      <c r="S107" s="289">
        <f t="shared" si="13"/>
        <v>0</v>
      </c>
      <c r="T107" s="289">
        <f t="shared" si="13"/>
        <v>0.15558506248767914</v>
      </c>
      <c r="U107" s="289">
        <f t="shared" si="13"/>
        <v>0</v>
      </c>
      <c r="V107" s="289">
        <f t="shared" si="13"/>
        <v>0.13073382681730653</v>
      </c>
      <c r="W107" s="289">
        <f t="shared" si="13"/>
        <v>0</v>
      </c>
      <c r="X107" s="289">
        <f t="shared" si="13"/>
        <v>0.10505458869968366</v>
      </c>
      <c r="Y107" s="289">
        <f t="shared" si="13"/>
        <v>0</v>
      </c>
      <c r="Z107" s="269"/>
      <c r="AA107" s="269"/>
    </row>
    <row r="108" spans="3:27" x14ac:dyDescent="0.25">
      <c r="E108" s="32"/>
      <c r="J108" s="89"/>
      <c r="K108" s="89"/>
      <c r="L108" s="89"/>
      <c r="M108" s="89"/>
      <c r="N108" s="89"/>
      <c r="O108" s="89"/>
      <c r="P108" s="89"/>
      <c r="Q108" s="89"/>
      <c r="R108" s="89"/>
      <c r="S108" s="89"/>
      <c r="T108" s="89"/>
      <c r="U108" s="89"/>
      <c r="V108" s="89"/>
      <c r="W108" s="89"/>
      <c r="X108" s="89"/>
      <c r="Y108" s="89"/>
    </row>
    <row r="109" spans="3:27" x14ac:dyDescent="0.25">
      <c r="E109" s="32" t="s">
        <v>1053</v>
      </c>
      <c r="I109" t="s">
        <v>154</v>
      </c>
      <c r="J109" s="89"/>
      <c r="K109" s="89"/>
      <c r="L109" s="89"/>
      <c r="M109" s="89"/>
      <c r="N109" s="89"/>
      <c r="O109" s="89"/>
      <c r="P109" s="89"/>
      <c r="Q109" s="89"/>
      <c r="R109" s="89"/>
      <c r="S109" s="89"/>
      <c r="T109" s="89"/>
      <c r="U109" s="89"/>
      <c r="V109" s="89"/>
      <c r="W109" s="89"/>
      <c r="X109" s="89"/>
      <c r="Y109" s="89"/>
      <c r="AA109" t="s">
        <v>1066</v>
      </c>
    </row>
    <row r="110" spans="3:27" x14ac:dyDescent="0.25">
      <c r="E110" s="88"/>
      <c r="F110" s="23" t="s">
        <v>156</v>
      </c>
      <c r="G110" s="23" t="s">
        <v>269</v>
      </c>
      <c r="H110" s="283"/>
      <c r="I110" s="267"/>
      <c r="J110" s="286">
        <f xml:space="preserve"> J90 * (1 - J55) + J44</f>
        <v>6.0754589171478983</v>
      </c>
      <c r="K110" s="286">
        <f t="shared" ref="K110:N110" si="14" xml:space="preserve"> K90 * (1 - K55) + K44</f>
        <v>6.0754589171478983</v>
      </c>
      <c r="L110" s="286">
        <f t="shared" si="14"/>
        <v>5.3439710283148196</v>
      </c>
      <c r="M110" s="286">
        <f t="shared" si="14"/>
        <v>5.3439710283148196</v>
      </c>
      <c r="N110" s="286">
        <f t="shared" si="14"/>
        <v>4.0315574612520155</v>
      </c>
      <c r="O110" s="285"/>
      <c r="P110" s="285"/>
      <c r="Q110" s="286">
        <f t="shared" ref="Q110:R110" si="15" xml:space="preserve"> Q90 * (1 - Q55) + Q44</f>
        <v>15.12293561928912</v>
      </c>
      <c r="R110" s="286">
        <f t="shared" si="15"/>
        <v>-4.752126966792952</v>
      </c>
      <c r="S110" s="285"/>
      <c r="T110" s="286">
        <f t="shared" ref="T110" si="16" xml:space="preserve"> T90 * (1 - T55) + T44</f>
        <v>-4.752126966792952</v>
      </c>
      <c r="U110" s="285"/>
      <c r="V110" s="285"/>
      <c r="W110" s="285"/>
      <c r="X110" s="285"/>
      <c r="Y110" s="285"/>
      <c r="Z110" s="269"/>
      <c r="AA110" s="269"/>
    </row>
    <row r="111" spans="3:27" x14ac:dyDescent="0.25">
      <c r="E111" s="88"/>
      <c r="F111" t="s">
        <v>157</v>
      </c>
      <c r="G111" t="s">
        <v>269</v>
      </c>
      <c r="H111" s="284"/>
      <c r="I111" s="269"/>
      <c r="J111" s="340">
        <f t="shared" ref="J111:N116" si="17" xml:space="preserve"> J91 * (1 - J56) + J45</f>
        <v>1.2981982472193179</v>
      </c>
      <c r="K111" s="340">
        <f t="shared" si="17"/>
        <v>1.2981982472193179</v>
      </c>
      <c r="L111" s="340">
        <f t="shared" si="17"/>
        <v>1.2057472823347304</v>
      </c>
      <c r="M111" s="340">
        <f t="shared" si="17"/>
        <v>1.2057472823347304</v>
      </c>
      <c r="N111" s="340">
        <f t="shared" si="17"/>
        <v>1.023800659026499</v>
      </c>
      <c r="O111" s="270"/>
      <c r="P111" s="270"/>
      <c r="Q111" s="340">
        <f t="shared" ref="Q111:R111" si="18" xml:space="preserve"> Q91 * (1 - Q56) + Q45</f>
        <v>1.7285455335196525</v>
      </c>
      <c r="R111" s="340">
        <f t="shared" si="18"/>
        <v>-0.6006097025542575</v>
      </c>
      <c r="S111" s="270"/>
      <c r="T111" s="340">
        <f t="shared" ref="T111" si="19" xml:space="preserve"> T91 * (1 - T56) + T45</f>
        <v>-0.6006097025542575</v>
      </c>
      <c r="U111" s="270"/>
      <c r="V111" s="270"/>
      <c r="W111" s="270"/>
      <c r="X111" s="270"/>
      <c r="Y111" s="270"/>
      <c r="Z111" s="269"/>
      <c r="AA111" s="269"/>
    </row>
    <row r="112" spans="3:27" x14ac:dyDescent="0.25">
      <c r="E112" s="88"/>
      <c r="F112" t="s">
        <v>158</v>
      </c>
      <c r="G112" t="s">
        <v>269</v>
      </c>
      <c r="H112" s="284"/>
      <c r="I112" s="269"/>
      <c r="J112" s="340">
        <f t="shared" si="17"/>
        <v>0.64970575200117564</v>
      </c>
      <c r="K112" s="340">
        <f t="shared" si="17"/>
        <v>0.64970575200117564</v>
      </c>
      <c r="L112" s="340">
        <f t="shared" si="17"/>
        <v>0.64400128850732719</v>
      </c>
      <c r="M112" s="340">
        <f t="shared" si="17"/>
        <v>0.64400128850732719</v>
      </c>
      <c r="N112" s="340">
        <f t="shared" si="17"/>
        <v>0.63214129386101758</v>
      </c>
      <c r="O112" s="270"/>
      <c r="P112" s="270"/>
      <c r="Q112" s="340">
        <f t="shared" ref="Q112:R112" si="20" xml:space="preserve"> Q92 * (1 - Q57) + Q46</f>
        <v>1.1955788346831662</v>
      </c>
      <c r="R112" s="340">
        <f t="shared" si="20"/>
        <v>-3.7059171059480152E-2</v>
      </c>
      <c r="S112" s="270"/>
      <c r="T112" s="340">
        <f t="shared" ref="T112" si="21" xml:space="preserve"> T92 * (1 - T57) + T46</f>
        <v>-3.7059171059480152E-2</v>
      </c>
      <c r="U112" s="270"/>
      <c r="V112" s="270"/>
      <c r="W112" s="270"/>
      <c r="X112" s="270"/>
      <c r="Y112" s="270"/>
      <c r="Z112" s="269"/>
      <c r="AA112" s="269"/>
    </row>
    <row r="113" spans="1:27" x14ac:dyDescent="0.25">
      <c r="E113" s="88"/>
      <c r="F113" t="s">
        <v>159</v>
      </c>
      <c r="G113" t="s">
        <v>270</v>
      </c>
      <c r="H113" s="51"/>
      <c r="J113" s="341">
        <f t="shared" si="17"/>
        <v>2.6519388249182221</v>
      </c>
      <c r="K113" s="341">
        <f t="shared" si="17"/>
        <v>0</v>
      </c>
      <c r="L113" s="341">
        <f t="shared" si="17"/>
        <v>5.2158945021228815</v>
      </c>
      <c r="M113" s="341">
        <f t="shared" si="17"/>
        <v>0</v>
      </c>
      <c r="N113" s="341">
        <f t="shared" si="17"/>
        <v>7.9466402635885229</v>
      </c>
      <c r="O113" s="79"/>
      <c r="P113" s="79"/>
      <c r="Q113" s="341">
        <f t="shared" ref="Q113:R113" si="22" xml:space="preserve"> Q93 * (1 - Q58) + Q47</f>
        <v>0</v>
      </c>
      <c r="R113" s="341">
        <f t="shared" si="22"/>
        <v>0</v>
      </c>
      <c r="S113" s="79"/>
      <c r="T113" s="341">
        <f t="shared" ref="T113" si="23" xml:space="preserve"> T93 * (1 - T58) + T47</f>
        <v>0</v>
      </c>
      <c r="U113" s="79"/>
      <c r="V113" s="79"/>
      <c r="W113" s="79"/>
      <c r="X113" s="79"/>
      <c r="Y113" s="79"/>
    </row>
    <row r="114" spans="1:27" x14ac:dyDescent="0.25">
      <c r="E114" s="88"/>
      <c r="F114" t="s">
        <v>160</v>
      </c>
      <c r="G114" t="s">
        <v>271</v>
      </c>
      <c r="H114" s="51"/>
      <c r="J114" s="341">
        <f t="shared" si="17"/>
        <v>0</v>
      </c>
      <c r="K114" s="341">
        <f t="shared" si="17"/>
        <v>0</v>
      </c>
      <c r="L114" s="341">
        <f t="shared" si="17"/>
        <v>0</v>
      </c>
      <c r="M114" s="341">
        <f t="shared" si="17"/>
        <v>0</v>
      </c>
      <c r="N114" s="341">
        <f t="shared" si="17"/>
        <v>2.016837883824385</v>
      </c>
      <c r="O114" s="79"/>
      <c r="P114" s="79"/>
      <c r="Q114" s="341">
        <f t="shared" ref="Q114:R114" si="24" xml:space="preserve"> Q94 * (1 - Q59) + Q48</f>
        <v>0</v>
      </c>
      <c r="R114" s="341">
        <f t="shared" si="24"/>
        <v>0</v>
      </c>
      <c r="S114" s="79"/>
      <c r="T114" s="341">
        <f t="shared" ref="T114" si="25" xml:space="preserve"> T94 * (1 - T59) + T48</f>
        <v>0</v>
      </c>
      <c r="U114" s="79"/>
      <c r="V114" s="79"/>
      <c r="W114" s="79"/>
      <c r="X114" s="79"/>
      <c r="Y114" s="79"/>
    </row>
    <row r="115" spans="1:27" x14ac:dyDescent="0.25">
      <c r="E115" s="88"/>
      <c r="F115" t="s">
        <v>161</v>
      </c>
      <c r="G115" t="s">
        <v>271</v>
      </c>
      <c r="H115" s="51"/>
      <c r="J115" s="341">
        <f t="shared" si="17"/>
        <v>0</v>
      </c>
      <c r="K115" s="341">
        <f t="shared" si="17"/>
        <v>0</v>
      </c>
      <c r="L115" s="341">
        <f t="shared" si="17"/>
        <v>0</v>
      </c>
      <c r="M115" s="341">
        <f t="shared" si="17"/>
        <v>0</v>
      </c>
      <c r="N115" s="341">
        <f t="shared" si="17"/>
        <v>3.9984378885423784</v>
      </c>
      <c r="O115" s="79"/>
      <c r="P115" s="79"/>
      <c r="Q115" s="341">
        <f t="shared" ref="Q115:R115" si="26" xml:space="preserve"> Q95 * (1 - Q60) + Q49</f>
        <v>0</v>
      </c>
      <c r="R115" s="341">
        <f t="shared" si="26"/>
        <v>0</v>
      </c>
      <c r="S115" s="79"/>
      <c r="T115" s="341">
        <f t="shared" ref="T115" si="27" xml:space="preserve"> T95 * (1 - T60) + T49</f>
        <v>0</v>
      </c>
      <c r="U115" s="79"/>
      <c r="V115" s="79"/>
      <c r="W115" s="79"/>
      <c r="X115" s="79"/>
      <c r="Y115" s="79"/>
    </row>
    <row r="116" spans="1:27" x14ac:dyDescent="0.25">
      <c r="E116" s="88"/>
      <c r="F116" s="37" t="s">
        <v>162</v>
      </c>
      <c r="G116" s="37" t="s">
        <v>272</v>
      </c>
      <c r="H116" s="288"/>
      <c r="I116" s="273"/>
      <c r="J116" s="289">
        <f t="shared" si="17"/>
        <v>0</v>
      </c>
      <c r="K116" s="289">
        <f t="shared" si="17"/>
        <v>0</v>
      </c>
      <c r="L116" s="289">
        <f t="shared" si="17"/>
        <v>0</v>
      </c>
      <c r="M116" s="289">
        <f t="shared" si="17"/>
        <v>0</v>
      </c>
      <c r="N116" s="289">
        <f t="shared" si="17"/>
        <v>0.10904793576428809</v>
      </c>
      <c r="O116" s="274"/>
      <c r="P116" s="274"/>
      <c r="Q116" s="289">
        <f t="shared" ref="Q116:R116" si="28" xml:space="preserve"> Q96 * (1 - Q61) + Q50</f>
        <v>0</v>
      </c>
      <c r="R116" s="289">
        <f t="shared" si="28"/>
        <v>0</v>
      </c>
      <c r="S116" s="274"/>
      <c r="T116" s="289">
        <f t="shared" ref="T116" si="29" xml:space="preserve"> T96 * (1 - T61) + T50</f>
        <v>0.15558506248767914</v>
      </c>
      <c r="U116" s="274"/>
      <c r="V116" s="274"/>
      <c r="W116" s="274"/>
      <c r="X116" s="274"/>
      <c r="Y116" s="274"/>
      <c r="Z116" s="269"/>
      <c r="AA116" s="269"/>
    </row>
    <row r="117" spans="1:27" x14ac:dyDescent="0.25">
      <c r="E117" s="88"/>
      <c r="J117" s="89"/>
      <c r="K117" s="89"/>
      <c r="L117" s="89"/>
      <c r="M117" s="89"/>
      <c r="N117" s="89"/>
      <c r="O117" s="89"/>
      <c r="P117" s="89"/>
      <c r="Q117" s="89"/>
      <c r="R117" s="89"/>
      <c r="S117" s="89"/>
      <c r="T117" s="89"/>
      <c r="U117" s="89"/>
      <c r="V117" s="89"/>
      <c r="W117" s="89"/>
      <c r="X117" s="89"/>
      <c r="Y117" s="89"/>
    </row>
    <row r="118" spans="1:27" x14ac:dyDescent="0.25">
      <c r="E118" s="32" t="s">
        <v>1054</v>
      </c>
      <c r="I118" t="s">
        <v>154</v>
      </c>
      <c r="J118" s="89"/>
      <c r="K118" s="89"/>
      <c r="L118" s="89"/>
      <c r="M118" s="89"/>
      <c r="N118" s="89"/>
      <c r="O118" s="89"/>
      <c r="P118" s="89"/>
      <c r="Q118" s="89"/>
      <c r="R118" s="89"/>
      <c r="S118" s="89"/>
      <c r="T118" s="89"/>
      <c r="U118" s="89"/>
      <c r="V118" s="89"/>
      <c r="W118" s="89"/>
      <c r="X118" s="89"/>
      <c r="Y118" s="89"/>
      <c r="AA118" t="s">
        <v>1066</v>
      </c>
    </row>
    <row r="119" spans="1:27" x14ac:dyDescent="0.25">
      <c r="C119" s="88"/>
      <c r="F119" s="23" t="s">
        <v>156</v>
      </c>
      <c r="G119" s="23" t="s">
        <v>269</v>
      </c>
      <c r="H119" s="283"/>
      <c r="I119" s="267"/>
      <c r="J119" s="286">
        <f>J90 * (1 - J64) + J44</f>
        <v>4.8277124232113762</v>
      </c>
      <c r="K119" s="286">
        <f t="shared" ref="K119:T119" si="30">K90 * (1 - K64) + K44</f>
        <v>4.8277124232113762</v>
      </c>
      <c r="L119" s="286">
        <f t="shared" si="30"/>
        <v>4.246453753453812</v>
      </c>
      <c r="M119" s="286">
        <f t="shared" si="30"/>
        <v>4.246453753453812</v>
      </c>
      <c r="N119" s="286">
        <f t="shared" si="30"/>
        <v>3.2035769323766243</v>
      </c>
      <c r="O119" s="286">
        <f t="shared" si="30"/>
        <v>3.3772041004158284</v>
      </c>
      <c r="P119" s="286">
        <f t="shared" si="30"/>
        <v>2.6572368622841251</v>
      </c>
      <c r="Q119" s="286">
        <f t="shared" si="30"/>
        <v>12.017064909878743</v>
      </c>
      <c r="R119" s="286">
        <f t="shared" si="30"/>
        <v>-4.752126966792952</v>
      </c>
      <c r="S119" s="286">
        <f t="shared" si="30"/>
        <v>-4.1687283895347562</v>
      </c>
      <c r="T119" s="286">
        <f t="shared" si="30"/>
        <v>-4.752126966792952</v>
      </c>
      <c r="U119" s="285"/>
      <c r="V119" s="286">
        <f t="shared" ref="V119" si="31">V90 * (1 - V64) + V44</f>
        <v>-4.1687283895347562</v>
      </c>
      <c r="W119" s="285"/>
      <c r="X119" s="286">
        <f t="shared" ref="X119" si="32">X90 * (1 - X64) + X44</f>
        <v>-2.7260556362386072</v>
      </c>
      <c r="Y119" s="285"/>
      <c r="Z119" s="269"/>
      <c r="AA119" s="269"/>
    </row>
    <row r="120" spans="1:27" x14ac:dyDescent="0.25">
      <c r="C120" s="88"/>
      <c r="F120" t="s">
        <v>157</v>
      </c>
      <c r="G120" t="s">
        <v>269</v>
      </c>
      <c r="H120" s="284"/>
      <c r="I120" s="269"/>
      <c r="J120" s="340">
        <f t="shared" ref="J120:T125" si="33">J91 * (1 - J65) + J45</f>
        <v>1.0315809704847956</v>
      </c>
      <c r="K120" s="340">
        <f t="shared" si="33"/>
        <v>1.0315809704847956</v>
      </c>
      <c r="L120" s="340">
        <f t="shared" si="33"/>
        <v>0.95811710910447234</v>
      </c>
      <c r="M120" s="340">
        <f t="shared" si="33"/>
        <v>0.95811710910447234</v>
      </c>
      <c r="N120" s="340">
        <f t="shared" si="33"/>
        <v>0.81353774716898519</v>
      </c>
      <c r="O120" s="340">
        <f t="shared" si="33"/>
        <v>1.0026588894739166</v>
      </c>
      <c r="P120" s="340">
        <f t="shared" si="33"/>
        <v>0.97494433049219509</v>
      </c>
      <c r="Q120" s="340">
        <f t="shared" si="33"/>
        <v>1.3735457452779312</v>
      </c>
      <c r="R120" s="340">
        <f t="shared" si="33"/>
        <v>-0.6006097025542575</v>
      </c>
      <c r="S120" s="340">
        <f t="shared" si="33"/>
        <v>-0.51495336021881366</v>
      </c>
      <c r="T120" s="340">
        <f t="shared" si="33"/>
        <v>-0.6006097025542575</v>
      </c>
      <c r="U120" s="270"/>
      <c r="V120" s="340">
        <f t="shared" ref="V120" si="34">V91 * (1 - V65) + V45</f>
        <v>-0.51495336021881366</v>
      </c>
      <c r="W120" s="270"/>
      <c r="X120" s="340">
        <f t="shared" ref="X120" si="35">X91 * (1 - X65) + X45</f>
        <v>-0.29638866966229255</v>
      </c>
      <c r="Y120" s="270"/>
      <c r="Z120" s="269"/>
      <c r="AA120" s="269"/>
    </row>
    <row r="121" spans="1:27" x14ac:dyDescent="0.25">
      <c r="C121" s="88"/>
      <c r="F121" t="s">
        <v>158</v>
      </c>
      <c r="G121" t="s">
        <v>269</v>
      </c>
      <c r="H121" s="284"/>
      <c r="I121" s="269"/>
      <c r="J121" s="340">
        <f t="shared" si="33"/>
        <v>0.51627252741599094</v>
      </c>
      <c r="K121" s="340">
        <f t="shared" si="33"/>
        <v>0.51627252741599094</v>
      </c>
      <c r="L121" s="340">
        <f t="shared" si="33"/>
        <v>0.51173961728482731</v>
      </c>
      <c r="M121" s="340">
        <f t="shared" si="33"/>
        <v>0.51173961728482731</v>
      </c>
      <c r="N121" s="340">
        <f t="shared" si="33"/>
        <v>0.50231536731885307</v>
      </c>
      <c r="O121" s="340">
        <f t="shared" si="33"/>
        <v>0.72195351594028567</v>
      </c>
      <c r="P121" s="340">
        <f t="shared" si="33"/>
        <v>0.80810166354837709</v>
      </c>
      <c r="Q121" s="340">
        <f t="shared" si="33"/>
        <v>0.95003700491453624</v>
      </c>
      <c r="R121" s="340">
        <f t="shared" si="33"/>
        <v>-3.7059171059480152E-2</v>
      </c>
      <c r="S121" s="340">
        <f t="shared" si="33"/>
        <v>-3.1304146471503695E-2</v>
      </c>
      <c r="T121" s="340">
        <f t="shared" si="33"/>
        <v>-3.7059171059480152E-2</v>
      </c>
      <c r="U121" s="270"/>
      <c r="V121" s="340">
        <f t="shared" ref="V121" si="36">V92 * (1 - V66) + V46</f>
        <v>-3.1304146471503695E-2</v>
      </c>
      <c r="W121" s="270"/>
      <c r="X121" s="340">
        <f t="shared" ref="X121" si="37">X92 * (1 - X66) + X46</f>
        <v>-1.6392243650649556E-2</v>
      </c>
      <c r="Y121" s="270"/>
      <c r="Z121" s="269"/>
      <c r="AA121" s="269"/>
    </row>
    <row r="122" spans="1:27" x14ac:dyDescent="0.25">
      <c r="C122" s="88"/>
      <c r="F122" t="s">
        <v>159</v>
      </c>
      <c r="G122" t="s">
        <v>270</v>
      </c>
      <c r="H122" s="51"/>
      <c r="J122" s="341">
        <f t="shared" si="33"/>
        <v>2.1413715643651403</v>
      </c>
      <c r="K122" s="341">
        <f t="shared" si="33"/>
        <v>0</v>
      </c>
      <c r="L122" s="341">
        <f t="shared" si="33"/>
        <v>4.1769600708738288</v>
      </c>
      <c r="M122" s="341">
        <f t="shared" si="33"/>
        <v>0</v>
      </c>
      <c r="N122" s="341">
        <f t="shared" si="33"/>
        <v>6.3468793176405107</v>
      </c>
      <c r="O122" s="341">
        <f t="shared" si="33"/>
        <v>7.220523791089196</v>
      </c>
      <c r="P122" s="341">
        <f t="shared" si="33"/>
        <v>74.097036868099025</v>
      </c>
      <c r="Q122" s="341">
        <f t="shared" si="33"/>
        <v>0</v>
      </c>
      <c r="R122" s="341">
        <f t="shared" si="33"/>
        <v>0</v>
      </c>
      <c r="S122" s="341">
        <f t="shared" si="33"/>
        <v>0</v>
      </c>
      <c r="T122" s="341">
        <f t="shared" si="33"/>
        <v>0</v>
      </c>
      <c r="U122" s="79"/>
      <c r="V122" s="341">
        <f t="shared" ref="V122" si="38">V93 * (1 - V67) + V47</f>
        <v>0</v>
      </c>
      <c r="W122" s="79"/>
      <c r="X122" s="341">
        <f t="shared" ref="X122" si="39">X93 * (1 - X67) + X47</f>
        <v>0</v>
      </c>
      <c r="Y122" s="79"/>
    </row>
    <row r="123" spans="1:27" x14ac:dyDescent="0.25">
      <c r="C123" s="88"/>
      <c r="F123" t="s">
        <v>160</v>
      </c>
      <c r="G123" t="s">
        <v>271</v>
      </c>
      <c r="H123" s="51"/>
      <c r="J123" s="341">
        <f t="shared" si="33"/>
        <v>0</v>
      </c>
      <c r="K123" s="341">
        <f t="shared" si="33"/>
        <v>0</v>
      </c>
      <c r="L123" s="341">
        <f t="shared" si="33"/>
        <v>0</v>
      </c>
      <c r="M123" s="341">
        <f t="shared" si="33"/>
        <v>0</v>
      </c>
      <c r="N123" s="341">
        <f t="shared" si="33"/>
        <v>1.60263009595219</v>
      </c>
      <c r="O123" s="341">
        <f t="shared" si="33"/>
        <v>2.8408896222780839</v>
      </c>
      <c r="P123" s="341">
        <f t="shared" si="33"/>
        <v>3.9138449466868557</v>
      </c>
      <c r="Q123" s="341">
        <f t="shared" si="33"/>
        <v>0</v>
      </c>
      <c r="R123" s="341">
        <f t="shared" si="33"/>
        <v>0</v>
      </c>
      <c r="S123" s="341">
        <f t="shared" si="33"/>
        <v>0</v>
      </c>
      <c r="T123" s="341">
        <f t="shared" si="33"/>
        <v>0</v>
      </c>
      <c r="U123" s="79"/>
      <c r="V123" s="341">
        <f t="shared" ref="V123" si="40">V94 * (1 - V68) + V48</f>
        <v>0</v>
      </c>
      <c r="W123" s="79"/>
      <c r="X123" s="341">
        <f t="shared" ref="X123" si="41">X94 * (1 - X68) + X48</f>
        <v>0</v>
      </c>
      <c r="Y123" s="79"/>
    </row>
    <row r="124" spans="1:27" x14ac:dyDescent="0.25">
      <c r="C124" s="88"/>
      <c r="F124" t="s">
        <v>161</v>
      </c>
      <c r="G124" t="s">
        <v>271</v>
      </c>
      <c r="H124" s="51"/>
      <c r="J124" s="341">
        <f t="shared" si="33"/>
        <v>0</v>
      </c>
      <c r="K124" s="341">
        <f t="shared" si="33"/>
        <v>0</v>
      </c>
      <c r="L124" s="341">
        <f t="shared" si="33"/>
        <v>0</v>
      </c>
      <c r="M124" s="341">
        <f t="shared" si="33"/>
        <v>0</v>
      </c>
      <c r="N124" s="341">
        <f t="shared" si="33"/>
        <v>3.1772592871086305</v>
      </c>
      <c r="O124" s="341">
        <f t="shared" si="33"/>
        <v>4.286201541700569</v>
      </c>
      <c r="P124" s="341">
        <f t="shared" si="33"/>
        <v>5.6606522330423186</v>
      </c>
      <c r="Q124" s="341">
        <f t="shared" si="33"/>
        <v>0</v>
      </c>
      <c r="R124" s="341">
        <f t="shared" si="33"/>
        <v>0</v>
      </c>
      <c r="S124" s="341">
        <f t="shared" si="33"/>
        <v>0</v>
      </c>
      <c r="T124" s="341">
        <f t="shared" si="33"/>
        <v>0</v>
      </c>
      <c r="U124" s="79"/>
      <c r="V124" s="341">
        <f t="shared" ref="V124" si="42">V95 * (1 - V69) + V49</f>
        <v>0</v>
      </c>
      <c r="W124" s="79"/>
      <c r="X124" s="341">
        <f t="shared" ref="X124" si="43">X95 * (1 - X69) + X49</f>
        <v>0</v>
      </c>
      <c r="Y124" s="79"/>
    </row>
    <row r="125" spans="1:27" x14ac:dyDescent="0.25">
      <c r="C125" s="88"/>
      <c r="F125" s="37" t="s">
        <v>162</v>
      </c>
      <c r="G125" s="37" t="s">
        <v>272</v>
      </c>
      <c r="H125" s="288"/>
      <c r="I125" s="273"/>
      <c r="J125" s="289">
        <f t="shared" si="33"/>
        <v>0</v>
      </c>
      <c r="K125" s="289">
        <f t="shared" si="33"/>
        <v>0</v>
      </c>
      <c r="L125" s="289">
        <f t="shared" si="33"/>
        <v>0</v>
      </c>
      <c r="M125" s="289">
        <f t="shared" si="33"/>
        <v>0</v>
      </c>
      <c r="N125" s="289">
        <f t="shared" si="33"/>
        <v>8.6652231772797614E-2</v>
      </c>
      <c r="O125" s="289">
        <f t="shared" si="33"/>
        <v>8.9860005417223734E-2</v>
      </c>
      <c r="P125" s="289">
        <f t="shared" si="33"/>
        <v>5.2223516827786892E-2</v>
      </c>
      <c r="Q125" s="289">
        <f t="shared" si="33"/>
        <v>0</v>
      </c>
      <c r="R125" s="289">
        <f t="shared" si="33"/>
        <v>0</v>
      </c>
      <c r="S125" s="289">
        <f t="shared" si="33"/>
        <v>0</v>
      </c>
      <c r="T125" s="289">
        <f t="shared" si="33"/>
        <v>0.15558506248767914</v>
      </c>
      <c r="U125" s="274"/>
      <c r="V125" s="289">
        <f t="shared" ref="V125" si="44">V96 * (1 - V70) + V50</f>
        <v>0.13073382681730653</v>
      </c>
      <c r="W125" s="274"/>
      <c r="X125" s="289">
        <f t="shared" ref="X125" si="45">X96 * (1 - X70) + X50</f>
        <v>0.10505458869968366</v>
      </c>
      <c r="Y125" s="274"/>
      <c r="Z125" s="269"/>
      <c r="AA125" s="269"/>
    </row>
    <row r="126" spans="1:27" x14ac:dyDescent="0.25">
      <c r="A126" s="269"/>
      <c r="B126" s="269"/>
      <c r="C126" s="269"/>
      <c r="D126" s="269"/>
      <c r="E126" s="269"/>
      <c r="F126" s="269"/>
      <c r="G126" s="269"/>
      <c r="H126" s="269"/>
      <c r="I126" s="269"/>
      <c r="J126" s="269"/>
      <c r="K126" s="269"/>
      <c r="L126" s="269"/>
      <c r="M126" s="269"/>
      <c r="N126" s="269"/>
      <c r="O126" s="269"/>
      <c r="P126" s="269"/>
      <c r="Q126" s="269"/>
      <c r="R126" s="269"/>
      <c r="S126" s="269"/>
      <c r="T126" s="269"/>
      <c r="U126" s="269"/>
      <c r="V126" s="269"/>
      <c r="W126" s="269"/>
      <c r="X126" s="269"/>
      <c r="Y126" s="269"/>
      <c r="Z126" s="269"/>
      <c r="AA126" s="269"/>
    </row>
    <row r="127" spans="1:27" x14ac:dyDescent="0.25">
      <c r="C127" s="31" t="str">
        <f ca="1">INDEX('Version control'!$H$34:$H$57,MATCH($A$1,'Version control'!$F$34:$F$57,0),1)&amp;"-H: Tariff forecast, post-rounding"</f>
        <v>Section 117-H: Tariff forecast, post-rounding</v>
      </c>
      <c r="D127" s="31"/>
      <c r="E127" s="31"/>
      <c r="F127" s="31"/>
      <c r="G127" s="31"/>
      <c r="H127" s="31"/>
      <c r="I127" s="31"/>
      <c r="J127" s="90"/>
      <c r="K127" s="90"/>
      <c r="L127" s="90"/>
      <c r="M127" s="90"/>
      <c r="N127" s="90"/>
      <c r="O127" s="90"/>
      <c r="P127" s="90"/>
      <c r="Q127" s="90"/>
      <c r="R127" s="90"/>
      <c r="S127" s="90"/>
      <c r="T127" s="90"/>
      <c r="U127" s="90"/>
      <c r="V127" s="90"/>
      <c r="W127" s="90"/>
      <c r="X127" s="90"/>
      <c r="Y127" s="90"/>
      <c r="Z127" s="31"/>
      <c r="AA127" s="31"/>
    </row>
    <row r="128" spans="1:27" x14ac:dyDescent="0.25">
      <c r="J128" s="89"/>
      <c r="K128" s="89"/>
      <c r="L128" s="89"/>
      <c r="M128" s="89"/>
      <c r="N128" s="89"/>
      <c r="O128" s="89"/>
      <c r="P128" s="89"/>
      <c r="Q128" s="89"/>
      <c r="R128" s="89"/>
      <c r="S128" s="89"/>
      <c r="T128" s="89"/>
      <c r="U128" s="89"/>
      <c r="V128" s="89"/>
      <c r="W128" s="89"/>
      <c r="X128" s="89"/>
      <c r="Y128" s="89"/>
    </row>
    <row r="129" spans="5:27" x14ac:dyDescent="0.25">
      <c r="E129" s="32" t="s">
        <v>865</v>
      </c>
      <c r="F129" s="32"/>
      <c r="I129" t="s">
        <v>154</v>
      </c>
      <c r="J129" s="89"/>
      <c r="K129" s="89"/>
      <c r="L129" s="89"/>
      <c r="M129" s="89"/>
      <c r="N129" s="89"/>
      <c r="O129" s="89"/>
      <c r="P129" s="89"/>
      <c r="Q129" s="89"/>
      <c r="R129" s="89"/>
      <c r="S129" s="89"/>
      <c r="T129" s="89"/>
      <c r="U129" s="89"/>
      <c r="V129" s="89"/>
      <c r="W129" s="89"/>
      <c r="X129" s="89"/>
      <c r="Y129" s="89"/>
      <c r="AA129" t="s">
        <v>155</v>
      </c>
    </row>
    <row r="130" spans="5:27" x14ac:dyDescent="0.25">
      <c r="E130" s="88"/>
      <c r="F130" s="23" t="s">
        <v>156</v>
      </c>
      <c r="G130" s="23" t="s">
        <v>269</v>
      </c>
      <c r="H130" s="283"/>
      <c r="I130" s="267"/>
      <c r="J130" s="276">
        <f t="shared" ref="J130:Y130" si="46">ROUND(J101, $H75)</f>
        <v>8.7430000000000003</v>
      </c>
      <c r="K130" s="276">
        <f t="shared" si="46"/>
        <v>8.7430000000000003</v>
      </c>
      <c r="L130" s="276">
        <f t="shared" si="46"/>
        <v>7.69</v>
      </c>
      <c r="M130" s="276">
        <f t="shared" si="46"/>
        <v>7.69</v>
      </c>
      <c r="N130" s="276">
        <f t="shared" si="46"/>
        <v>5.8019999999999996</v>
      </c>
      <c r="O130" s="276">
        <f t="shared" si="46"/>
        <v>4.1840000000000002</v>
      </c>
      <c r="P130" s="276">
        <f t="shared" si="46"/>
        <v>2.903</v>
      </c>
      <c r="Q130" s="276">
        <f t="shared" si="46"/>
        <v>21.762</v>
      </c>
      <c r="R130" s="276">
        <f t="shared" si="46"/>
        <v>-4.7519999999999998</v>
      </c>
      <c r="S130" s="276">
        <f t="shared" si="46"/>
        <v>-4.1689999999999996</v>
      </c>
      <c r="T130" s="276">
        <f t="shared" si="46"/>
        <v>-4.7519999999999998</v>
      </c>
      <c r="U130" s="276">
        <f t="shared" si="46"/>
        <v>-4.7519999999999998</v>
      </c>
      <c r="V130" s="276">
        <f t="shared" si="46"/>
        <v>-4.1689999999999996</v>
      </c>
      <c r="W130" s="276">
        <f t="shared" si="46"/>
        <v>-4.1689999999999996</v>
      </c>
      <c r="X130" s="276">
        <f t="shared" si="46"/>
        <v>-2.726</v>
      </c>
      <c r="Y130" s="276">
        <f t="shared" si="46"/>
        <v>-2.726</v>
      </c>
      <c r="Z130" s="269"/>
      <c r="AA130" s="269"/>
    </row>
    <row r="131" spans="5:27" x14ac:dyDescent="0.25">
      <c r="E131" s="88"/>
      <c r="F131" t="s">
        <v>157</v>
      </c>
      <c r="G131" t="s">
        <v>269</v>
      </c>
      <c r="H131" s="284"/>
      <c r="I131" s="269"/>
      <c r="J131" s="277">
        <f t="shared" ref="J131:Y136" si="47">ROUND(J102, $H76)</f>
        <v>1.8680000000000001</v>
      </c>
      <c r="K131" s="277">
        <f t="shared" si="47"/>
        <v>1.8680000000000001</v>
      </c>
      <c r="L131" s="277">
        <f t="shared" si="47"/>
        <v>1.7350000000000001</v>
      </c>
      <c r="M131" s="277">
        <f t="shared" si="47"/>
        <v>1.7350000000000001</v>
      </c>
      <c r="N131" s="277">
        <f t="shared" si="47"/>
        <v>1.4730000000000001</v>
      </c>
      <c r="O131" s="277">
        <f t="shared" si="47"/>
        <v>1.242</v>
      </c>
      <c r="P131" s="277">
        <f t="shared" si="47"/>
        <v>1.0649999999999999</v>
      </c>
      <c r="Q131" s="277">
        <f t="shared" si="47"/>
        <v>2.4870000000000001</v>
      </c>
      <c r="R131" s="277">
        <f t="shared" si="47"/>
        <v>-0.60099999999999998</v>
      </c>
      <c r="S131" s="277">
        <f t="shared" si="47"/>
        <v>-0.51500000000000001</v>
      </c>
      <c r="T131" s="277">
        <f t="shared" si="47"/>
        <v>-0.60099999999999998</v>
      </c>
      <c r="U131" s="277">
        <f t="shared" si="47"/>
        <v>-0.60099999999999998</v>
      </c>
      <c r="V131" s="277">
        <f t="shared" si="47"/>
        <v>-0.51500000000000001</v>
      </c>
      <c r="W131" s="277">
        <f t="shared" si="47"/>
        <v>-0.51500000000000001</v>
      </c>
      <c r="X131" s="277">
        <f t="shared" si="47"/>
        <v>-0.29599999999999999</v>
      </c>
      <c r="Y131" s="277">
        <f t="shared" si="47"/>
        <v>-0.29599999999999999</v>
      </c>
      <c r="Z131" s="269"/>
      <c r="AA131" s="269"/>
    </row>
    <row r="132" spans="5:27" x14ac:dyDescent="0.25">
      <c r="E132" s="88"/>
      <c r="F132" t="s">
        <v>158</v>
      </c>
      <c r="G132" t="s">
        <v>269</v>
      </c>
      <c r="H132" s="284"/>
      <c r="I132" s="269"/>
      <c r="J132" s="277">
        <f t="shared" si="47"/>
        <v>0.93500000000000005</v>
      </c>
      <c r="K132" s="277">
        <f t="shared" si="47"/>
        <v>0.93500000000000005</v>
      </c>
      <c r="L132" s="277">
        <f t="shared" si="47"/>
        <v>0.92700000000000005</v>
      </c>
      <c r="M132" s="277">
        <f t="shared" si="47"/>
        <v>0.92700000000000005</v>
      </c>
      <c r="N132" s="277">
        <f t="shared" si="47"/>
        <v>0.91</v>
      </c>
      <c r="O132" s="277">
        <f t="shared" si="47"/>
        <v>0.89400000000000002</v>
      </c>
      <c r="P132" s="277">
        <f t="shared" si="47"/>
        <v>0.88300000000000001</v>
      </c>
      <c r="Q132" s="277">
        <f t="shared" si="47"/>
        <v>1.72</v>
      </c>
      <c r="R132" s="277">
        <f t="shared" si="47"/>
        <v>-3.6999999999999998E-2</v>
      </c>
      <c r="S132" s="277">
        <f t="shared" si="47"/>
        <v>-3.1E-2</v>
      </c>
      <c r="T132" s="277">
        <f t="shared" si="47"/>
        <v>-3.6999999999999998E-2</v>
      </c>
      <c r="U132" s="277">
        <f t="shared" si="47"/>
        <v>-3.6999999999999998E-2</v>
      </c>
      <c r="V132" s="277">
        <f t="shared" si="47"/>
        <v>-3.1E-2</v>
      </c>
      <c r="W132" s="277">
        <f t="shared" si="47"/>
        <v>-3.1E-2</v>
      </c>
      <c r="X132" s="277">
        <f t="shared" si="47"/>
        <v>-1.6E-2</v>
      </c>
      <c r="Y132" s="277">
        <f t="shared" si="47"/>
        <v>-1.6E-2</v>
      </c>
      <c r="Z132" s="269"/>
      <c r="AA132" s="269"/>
    </row>
    <row r="133" spans="5:27" x14ac:dyDescent="0.25">
      <c r="E133" s="88"/>
      <c r="F133" t="s">
        <v>159</v>
      </c>
      <c r="G133" t="s">
        <v>270</v>
      </c>
      <c r="H133" s="51"/>
      <c r="J133" s="121">
        <f t="shared" si="47"/>
        <v>3.74</v>
      </c>
      <c r="K133" s="121">
        <f t="shared" si="47"/>
        <v>0</v>
      </c>
      <c r="L133" s="121">
        <f t="shared" si="47"/>
        <v>7.44</v>
      </c>
      <c r="M133" s="121">
        <f t="shared" si="47"/>
        <v>0</v>
      </c>
      <c r="N133" s="121">
        <f t="shared" si="47"/>
        <v>11.37</v>
      </c>
      <c r="O133" s="121">
        <f t="shared" si="47"/>
        <v>8.91</v>
      </c>
      <c r="P133" s="121">
        <f t="shared" si="47"/>
        <v>80.94</v>
      </c>
      <c r="Q133" s="121">
        <f t="shared" si="47"/>
        <v>0</v>
      </c>
      <c r="R133" s="121">
        <f t="shared" si="47"/>
        <v>0</v>
      </c>
      <c r="S133" s="121">
        <f t="shared" si="47"/>
        <v>0</v>
      </c>
      <c r="T133" s="121">
        <f t="shared" si="47"/>
        <v>0</v>
      </c>
      <c r="U133" s="121">
        <f t="shared" si="47"/>
        <v>0</v>
      </c>
      <c r="V133" s="121">
        <f t="shared" si="47"/>
        <v>0</v>
      </c>
      <c r="W133" s="121">
        <f t="shared" si="47"/>
        <v>0</v>
      </c>
      <c r="X133" s="121">
        <f t="shared" si="47"/>
        <v>50.55</v>
      </c>
      <c r="Y133" s="121">
        <f t="shared" si="47"/>
        <v>50.55</v>
      </c>
    </row>
    <row r="134" spans="5:27" x14ac:dyDescent="0.25">
      <c r="E134" s="88"/>
      <c r="F134" t="s">
        <v>160</v>
      </c>
      <c r="G134" t="s">
        <v>271</v>
      </c>
      <c r="H134" s="51"/>
      <c r="J134" s="121">
        <f t="shared" si="47"/>
        <v>0</v>
      </c>
      <c r="K134" s="121">
        <f t="shared" si="47"/>
        <v>0</v>
      </c>
      <c r="L134" s="121">
        <f t="shared" si="47"/>
        <v>0</v>
      </c>
      <c r="M134" s="121">
        <f t="shared" si="47"/>
        <v>0</v>
      </c>
      <c r="N134" s="121">
        <f t="shared" si="47"/>
        <v>2.9</v>
      </c>
      <c r="O134" s="121">
        <f t="shared" si="47"/>
        <v>3.52</v>
      </c>
      <c r="P134" s="121">
        <f t="shared" si="47"/>
        <v>4.28</v>
      </c>
      <c r="Q134" s="121">
        <f t="shared" si="47"/>
        <v>0</v>
      </c>
      <c r="R134" s="121">
        <f t="shared" si="47"/>
        <v>0</v>
      </c>
      <c r="S134" s="121">
        <f t="shared" si="47"/>
        <v>0</v>
      </c>
      <c r="T134" s="121">
        <f t="shared" si="47"/>
        <v>0</v>
      </c>
      <c r="U134" s="121">
        <f t="shared" si="47"/>
        <v>0</v>
      </c>
      <c r="V134" s="121">
        <f t="shared" si="47"/>
        <v>0</v>
      </c>
      <c r="W134" s="121">
        <f t="shared" si="47"/>
        <v>0</v>
      </c>
      <c r="X134" s="121">
        <f t="shared" si="47"/>
        <v>0</v>
      </c>
      <c r="Y134" s="121">
        <f t="shared" si="47"/>
        <v>0</v>
      </c>
    </row>
    <row r="135" spans="5:27" x14ac:dyDescent="0.25">
      <c r="E135" s="88"/>
      <c r="F135" t="s">
        <v>161</v>
      </c>
      <c r="G135" t="s">
        <v>271</v>
      </c>
      <c r="H135" s="51"/>
      <c r="J135" s="121">
        <f t="shared" si="47"/>
        <v>0</v>
      </c>
      <c r="K135" s="121">
        <f t="shared" si="47"/>
        <v>0</v>
      </c>
      <c r="L135" s="121">
        <f t="shared" si="47"/>
        <v>0</v>
      </c>
      <c r="M135" s="121">
        <f t="shared" si="47"/>
        <v>0</v>
      </c>
      <c r="N135" s="121">
        <f t="shared" si="47"/>
        <v>5.75</v>
      </c>
      <c r="O135" s="121">
        <f t="shared" si="47"/>
        <v>5.31</v>
      </c>
      <c r="P135" s="121">
        <f t="shared" si="47"/>
        <v>6.18</v>
      </c>
      <c r="Q135" s="121">
        <f t="shared" si="47"/>
        <v>0</v>
      </c>
      <c r="R135" s="121">
        <f t="shared" si="47"/>
        <v>0</v>
      </c>
      <c r="S135" s="121">
        <f t="shared" si="47"/>
        <v>0</v>
      </c>
      <c r="T135" s="121">
        <f t="shared" si="47"/>
        <v>0</v>
      </c>
      <c r="U135" s="121">
        <f t="shared" si="47"/>
        <v>0</v>
      </c>
      <c r="V135" s="121">
        <f t="shared" si="47"/>
        <v>0</v>
      </c>
      <c r="W135" s="121">
        <f t="shared" si="47"/>
        <v>0</v>
      </c>
      <c r="X135" s="121">
        <f t="shared" si="47"/>
        <v>0</v>
      </c>
      <c r="Y135" s="121">
        <f t="shared" si="47"/>
        <v>0</v>
      </c>
    </row>
    <row r="136" spans="5:27" x14ac:dyDescent="0.25">
      <c r="E136" s="88"/>
      <c r="F136" s="37" t="s">
        <v>162</v>
      </c>
      <c r="G136" s="37" t="s">
        <v>272</v>
      </c>
      <c r="H136" s="288"/>
      <c r="I136" s="273"/>
      <c r="J136" s="278">
        <f t="shared" si="47"/>
        <v>0</v>
      </c>
      <c r="K136" s="278">
        <f t="shared" si="47"/>
        <v>0</v>
      </c>
      <c r="L136" s="278">
        <f t="shared" si="47"/>
        <v>0</v>
      </c>
      <c r="M136" s="278">
        <f t="shared" si="47"/>
        <v>0</v>
      </c>
      <c r="N136" s="278">
        <f t="shared" si="47"/>
        <v>0.157</v>
      </c>
      <c r="O136" s="278">
        <f t="shared" si="47"/>
        <v>0.111</v>
      </c>
      <c r="P136" s="278">
        <f t="shared" si="47"/>
        <v>5.7000000000000002E-2</v>
      </c>
      <c r="Q136" s="278">
        <f t="shared" si="47"/>
        <v>0</v>
      </c>
      <c r="R136" s="278">
        <f t="shared" si="47"/>
        <v>0</v>
      </c>
      <c r="S136" s="278">
        <f t="shared" si="47"/>
        <v>0</v>
      </c>
      <c r="T136" s="278">
        <f t="shared" si="47"/>
        <v>0.156</v>
      </c>
      <c r="U136" s="278">
        <f t="shared" si="47"/>
        <v>0</v>
      </c>
      <c r="V136" s="278">
        <f t="shared" si="47"/>
        <v>0.13100000000000001</v>
      </c>
      <c r="W136" s="278">
        <f t="shared" si="47"/>
        <v>0</v>
      </c>
      <c r="X136" s="278">
        <f t="shared" si="47"/>
        <v>0.105</v>
      </c>
      <c r="Y136" s="278">
        <f t="shared" si="47"/>
        <v>0</v>
      </c>
      <c r="Z136" s="269"/>
      <c r="AA136" s="269"/>
    </row>
    <row r="137" spans="5:27" x14ac:dyDescent="0.25">
      <c r="E137" s="32"/>
      <c r="J137" s="89"/>
      <c r="K137" s="89"/>
      <c r="L137" s="89"/>
      <c r="M137" s="89"/>
      <c r="N137" s="89"/>
      <c r="O137" s="89"/>
      <c r="P137" s="89"/>
      <c r="Q137" s="89"/>
      <c r="R137" s="89"/>
      <c r="S137" s="89"/>
      <c r="T137" s="89"/>
      <c r="U137" s="89"/>
      <c r="V137" s="89"/>
      <c r="W137" s="89"/>
      <c r="X137" s="89"/>
      <c r="Y137" s="89"/>
    </row>
    <row r="138" spans="5:27" x14ac:dyDescent="0.25">
      <c r="E138" s="32" t="s">
        <v>866</v>
      </c>
      <c r="I138" t="s">
        <v>154</v>
      </c>
      <c r="J138" s="89"/>
      <c r="K138" s="89"/>
      <c r="L138" s="89"/>
      <c r="M138" s="89"/>
      <c r="N138" s="89"/>
      <c r="O138" s="89"/>
      <c r="P138" s="89"/>
      <c r="Q138" s="89"/>
      <c r="R138" s="89"/>
      <c r="S138" s="89"/>
      <c r="T138" s="89"/>
      <c r="U138" s="89"/>
      <c r="V138" s="89"/>
      <c r="W138" s="89"/>
      <c r="X138" s="89"/>
      <c r="Y138" s="89"/>
      <c r="AA138" t="s">
        <v>155</v>
      </c>
    </row>
    <row r="139" spans="5:27" x14ac:dyDescent="0.25">
      <c r="E139" s="88"/>
      <c r="F139" s="23" t="s">
        <v>156</v>
      </c>
      <c r="G139" s="23" t="s">
        <v>269</v>
      </c>
      <c r="H139" s="283"/>
      <c r="I139" s="267"/>
      <c r="J139" s="276">
        <f>ROUND(J110, $H75)</f>
        <v>6.0750000000000002</v>
      </c>
      <c r="K139" s="276">
        <f>ROUND(K110, $H75)</f>
        <v>6.0750000000000002</v>
      </c>
      <c r="L139" s="276">
        <f>ROUND(L110, $H75)</f>
        <v>5.3440000000000003</v>
      </c>
      <c r="M139" s="276">
        <f>ROUND(M110, $H75)</f>
        <v>5.3440000000000003</v>
      </c>
      <c r="N139" s="276">
        <f>ROUND(N110, $H75)</f>
        <v>4.032</v>
      </c>
      <c r="O139" s="285"/>
      <c r="P139" s="285"/>
      <c r="Q139" s="276">
        <f>ROUND(Q110, $H75)</f>
        <v>15.122999999999999</v>
      </c>
      <c r="R139" s="276">
        <f>ROUND(R110, $H75)</f>
        <v>-4.7519999999999998</v>
      </c>
      <c r="S139" s="285"/>
      <c r="T139" s="276">
        <f>ROUND(T110, $H75)</f>
        <v>-4.7519999999999998</v>
      </c>
      <c r="U139" s="285"/>
      <c r="V139" s="285"/>
      <c r="W139" s="285"/>
      <c r="X139" s="285"/>
      <c r="Y139" s="285"/>
      <c r="Z139" s="269"/>
      <c r="AA139" s="269"/>
    </row>
    <row r="140" spans="5:27" x14ac:dyDescent="0.25">
      <c r="E140" s="88"/>
      <c r="F140" t="s">
        <v>157</v>
      </c>
      <c r="G140" t="s">
        <v>269</v>
      </c>
      <c r="H140" s="284"/>
      <c r="I140" s="269"/>
      <c r="J140" s="277">
        <f t="shared" ref="J140:N145" si="48">ROUND(J111, $H76)</f>
        <v>1.298</v>
      </c>
      <c r="K140" s="277">
        <f t="shared" si="48"/>
        <v>1.298</v>
      </c>
      <c r="L140" s="277">
        <f t="shared" si="48"/>
        <v>1.206</v>
      </c>
      <c r="M140" s="277">
        <f t="shared" si="48"/>
        <v>1.206</v>
      </c>
      <c r="N140" s="277">
        <f t="shared" si="48"/>
        <v>1.024</v>
      </c>
      <c r="O140" s="270"/>
      <c r="P140" s="270"/>
      <c r="Q140" s="277">
        <f t="shared" ref="Q140:R145" si="49">ROUND(Q111, $H76)</f>
        <v>1.7290000000000001</v>
      </c>
      <c r="R140" s="277">
        <f t="shared" si="49"/>
        <v>-0.60099999999999998</v>
      </c>
      <c r="S140" s="270"/>
      <c r="T140" s="277">
        <f t="shared" ref="T140:T145" si="50">ROUND(T111, $H76)</f>
        <v>-0.60099999999999998</v>
      </c>
      <c r="U140" s="270"/>
      <c r="V140" s="270"/>
      <c r="W140" s="270"/>
      <c r="X140" s="270"/>
      <c r="Y140" s="270"/>
      <c r="Z140" s="269"/>
      <c r="AA140" s="269"/>
    </row>
    <row r="141" spans="5:27" x14ac:dyDescent="0.25">
      <c r="E141" s="88"/>
      <c r="F141" t="s">
        <v>158</v>
      </c>
      <c r="G141" t="s">
        <v>269</v>
      </c>
      <c r="H141" s="284"/>
      <c r="I141" s="269"/>
      <c r="J141" s="277">
        <f t="shared" si="48"/>
        <v>0.65</v>
      </c>
      <c r="K141" s="277">
        <f t="shared" si="48"/>
        <v>0.65</v>
      </c>
      <c r="L141" s="277">
        <f t="shared" si="48"/>
        <v>0.64400000000000002</v>
      </c>
      <c r="M141" s="277">
        <f t="shared" si="48"/>
        <v>0.64400000000000002</v>
      </c>
      <c r="N141" s="277">
        <f t="shared" si="48"/>
        <v>0.63200000000000001</v>
      </c>
      <c r="O141" s="270"/>
      <c r="P141" s="270"/>
      <c r="Q141" s="277">
        <f t="shared" si="49"/>
        <v>1.196</v>
      </c>
      <c r="R141" s="277">
        <f t="shared" si="49"/>
        <v>-3.6999999999999998E-2</v>
      </c>
      <c r="S141" s="270"/>
      <c r="T141" s="277">
        <f t="shared" si="50"/>
        <v>-3.6999999999999998E-2</v>
      </c>
      <c r="U141" s="270"/>
      <c r="V141" s="270"/>
      <c r="W141" s="270"/>
      <c r="X141" s="270"/>
      <c r="Y141" s="270"/>
      <c r="Z141" s="269"/>
      <c r="AA141" s="269"/>
    </row>
    <row r="142" spans="5:27" x14ac:dyDescent="0.25">
      <c r="E142" s="88"/>
      <c r="F142" t="s">
        <v>159</v>
      </c>
      <c r="G142" t="s">
        <v>270</v>
      </c>
      <c r="H142" s="51"/>
      <c r="J142" s="121">
        <f t="shared" si="48"/>
        <v>2.65</v>
      </c>
      <c r="K142" s="121">
        <f t="shared" si="48"/>
        <v>0</v>
      </c>
      <c r="L142" s="121">
        <f t="shared" si="48"/>
        <v>5.22</v>
      </c>
      <c r="M142" s="121">
        <f t="shared" si="48"/>
        <v>0</v>
      </c>
      <c r="N142" s="121">
        <f t="shared" si="48"/>
        <v>7.95</v>
      </c>
      <c r="O142" s="79"/>
      <c r="P142" s="79"/>
      <c r="Q142" s="121">
        <f t="shared" si="49"/>
        <v>0</v>
      </c>
      <c r="R142" s="121">
        <f t="shared" si="49"/>
        <v>0</v>
      </c>
      <c r="S142" s="79"/>
      <c r="T142" s="121">
        <f t="shared" si="50"/>
        <v>0</v>
      </c>
      <c r="U142" s="79"/>
      <c r="V142" s="79"/>
      <c r="W142" s="79"/>
      <c r="X142" s="79"/>
      <c r="Y142" s="79"/>
    </row>
    <row r="143" spans="5:27" x14ac:dyDescent="0.25">
      <c r="E143" s="88"/>
      <c r="F143" t="s">
        <v>160</v>
      </c>
      <c r="G143" t="s">
        <v>271</v>
      </c>
      <c r="H143" s="51"/>
      <c r="J143" s="121">
        <f t="shared" si="48"/>
        <v>0</v>
      </c>
      <c r="K143" s="121">
        <f t="shared" si="48"/>
        <v>0</v>
      </c>
      <c r="L143" s="121">
        <f t="shared" si="48"/>
        <v>0</v>
      </c>
      <c r="M143" s="121">
        <f t="shared" si="48"/>
        <v>0</v>
      </c>
      <c r="N143" s="121">
        <f t="shared" si="48"/>
        <v>2.02</v>
      </c>
      <c r="O143" s="79"/>
      <c r="P143" s="79"/>
      <c r="Q143" s="121">
        <f t="shared" si="49"/>
        <v>0</v>
      </c>
      <c r="R143" s="121">
        <f t="shared" si="49"/>
        <v>0</v>
      </c>
      <c r="S143" s="79"/>
      <c r="T143" s="121">
        <f t="shared" si="50"/>
        <v>0</v>
      </c>
      <c r="U143" s="79"/>
      <c r="V143" s="79"/>
      <c r="W143" s="79"/>
      <c r="X143" s="79"/>
      <c r="Y143" s="79"/>
    </row>
    <row r="144" spans="5:27" x14ac:dyDescent="0.25">
      <c r="E144" s="88"/>
      <c r="F144" t="s">
        <v>161</v>
      </c>
      <c r="G144" t="s">
        <v>271</v>
      </c>
      <c r="H144" s="51"/>
      <c r="J144" s="121">
        <f t="shared" si="48"/>
        <v>0</v>
      </c>
      <c r="K144" s="121">
        <f t="shared" si="48"/>
        <v>0</v>
      </c>
      <c r="L144" s="121">
        <f t="shared" si="48"/>
        <v>0</v>
      </c>
      <c r="M144" s="121">
        <f t="shared" si="48"/>
        <v>0</v>
      </c>
      <c r="N144" s="121">
        <f t="shared" si="48"/>
        <v>4</v>
      </c>
      <c r="O144" s="79"/>
      <c r="P144" s="79"/>
      <c r="Q144" s="121">
        <f t="shared" si="49"/>
        <v>0</v>
      </c>
      <c r="R144" s="121">
        <f t="shared" si="49"/>
        <v>0</v>
      </c>
      <c r="S144" s="79"/>
      <c r="T144" s="121">
        <f t="shared" si="50"/>
        <v>0</v>
      </c>
      <c r="U144" s="79"/>
      <c r="V144" s="79"/>
      <c r="W144" s="79"/>
      <c r="X144" s="79"/>
      <c r="Y144" s="79"/>
    </row>
    <row r="145" spans="2:27" x14ac:dyDescent="0.25">
      <c r="E145" s="88"/>
      <c r="F145" s="37" t="s">
        <v>162</v>
      </c>
      <c r="G145" s="37" t="s">
        <v>272</v>
      </c>
      <c r="H145" s="288"/>
      <c r="I145" s="273"/>
      <c r="J145" s="278">
        <f t="shared" si="48"/>
        <v>0</v>
      </c>
      <c r="K145" s="278">
        <f t="shared" si="48"/>
        <v>0</v>
      </c>
      <c r="L145" s="278">
        <f t="shared" si="48"/>
        <v>0</v>
      </c>
      <c r="M145" s="278">
        <f t="shared" si="48"/>
        <v>0</v>
      </c>
      <c r="N145" s="278">
        <f t="shared" si="48"/>
        <v>0.109</v>
      </c>
      <c r="O145" s="274"/>
      <c r="P145" s="274"/>
      <c r="Q145" s="278">
        <f t="shared" si="49"/>
        <v>0</v>
      </c>
      <c r="R145" s="278">
        <f t="shared" si="49"/>
        <v>0</v>
      </c>
      <c r="S145" s="274"/>
      <c r="T145" s="278">
        <f t="shared" si="50"/>
        <v>0.156</v>
      </c>
      <c r="U145" s="274"/>
      <c r="V145" s="274"/>
      <c r="W145" s="274"/>
      <c r="X145" s="274"/>
      <c r="Y145" s="274"/>
      <c r="Z145" s="269"/>
      <c r="AA145" s="269"/>
    </row>
    <row r="146" spans="2:27" x14ac:dyDescent="0.25">
      <c r="E146" s="88"/>
      <c r="J146" s="89"/>
      <c r="K146" s="89"/>
      <c r="L146" s="89"/>
      <c r="M146" s="89"/>
      <c r="N146" s="89"/>
      <c r="O146" s="89"/>
      <c r="P146" s="89"/>
      <c r="Q146" s="89"/>
      <c r="R146" s="89"/>
      <c r="S146" s="89"/>
      <c r="T146" s="89"/>
      <c r="U146" s="89"/>
      <c r="V146" s="89"/>
      <c r="W146" s="89"/>
      <c r="X146" s="89"/>
      <c r="Y146" s="89"/>
    </row>
    <row r="147" spans="2:27" x14ac:dyDescent="0.25">
      <c r="E147" s="32" t="s">
        <v>867</v>
      </c>
      <c r="I147" t="s">
        <v>154</v>
      </c>
      <c r="J147" s="89"/>
      <c r="K147" s="89"/>
      <c r="L147" s="89"/>
      <c r="M147" s="89"/>
      <c r="N147" s="89"/>
      <c r="O147" s="89"/>
      <c r="P147" s="89"/>
      <c r="Q147" s="89"/>
      <c r="R147" s="89"/>
      <c r="S147" s="89"/>
      <c r="T147" s="89"/>
      <c r="U147" s="89"/>
      <c r="V147" s="89"/>
      <c r="W147" s="89"/>
      <c r="X147" s="89"/>
      <c r="Y147" s="89"/>
      <c r="AA147" t="s">
        <v>155</v>
      </c>
    </row>
    <row r="148" spans="2:27" x14ac:dyDescent="0.25">
      <c r="C148" s="88"/>
      <c r="F148" s="23" t="s">
        <v>156</v>
      </c>
      <c r="G148" s="23" t="s">
        <v>269</v>
      </c>
      <c r="H148" s="283"/>
      <c r="I148" s="267"/>
      <c r="J148" s="276">
        <f t="shared" ref="J148:T148" si="51">ROUND( J119, $H75)</f>
        <v>4.8280000000000003</v>
      </c>
      <c r="K148" s="276">
        <f t="shared" si="51"/>
        <v>4.8280000000000003</v>
      </c>
      <c r="L148" s="276">
        <f t="shared" si="51"/>
        <v>4.2460000000000004</v>
      </c>
      <c r="M148" s="276">
        <f t="shared" si="51"/>
        <v>4.2460000000000004</v>
      </c>
      <c r="N148" s="276">
        <f t="shared" si="51"/>
        <v>3.2040000000000002</v>
      </c>
      <c r="O148" s="276">
        <f t="shared" si="51"/>
        <v>3.3769999999999998</v>
      </c>
      <c r="P148" s="276">
        <f t="shared" si="51"/>
        <v>2.657</v>
      </c>
      <c r="Q148" s="276">
        <f t="shared" si="51"/>
        <v>12.016999999999999</v>
      </c>
      <c r="R148" s="276">
        <f t="shared" si="51"/>
        <v>-4.7519999999999998</v>
      </c>
      <c r="S148" s="276">
        <f t="shared" si="51"/>
        <v>-4.1689999999999996</v>
      </c>
      <c r="T148" s="276">
        <f t="shared" si="51"/>
        <v>-4.7519999999999998</v>
      </c>
      <c r="U148" s="285"/>
      <c r="V148" s="276">
        <f>ROUND( V119, $H75)</f>
        <v>-4.1689999999999996</v>
      </c>
      <c r="W148" s="285"/>
      <c r="X148" s="276">
        <f>ROUND( X119, $H75)</f>
        <v>-2.726</v>
      </c>
      <c r="Y148" s="285"/>
      <c r="Z148" s="269"/>
      <c r="AA148" s="269"/>
    </row>
    <row r="149" spans="2:27" x14ac:dyDescent="0.25">
      <c r="C149" s="88"/>
      <c r="F149" t="s">
        <v>157</v>
      </c>
      <c r="G149" t="s">
        <v>269</v>
      </c>
      <c r="H149" s="284"/>
      <c r="I149" s="269"/>
      <c r="J149" s="277">
        <f t="shared" ref="J149:T154" si="52">ROUND( J120, $H76)</f>
        <v>1.032</v>
      </c>
      <c r="K149" s="277">
        <f t="shared" si="52"/>
        <v>1.032</v>
      </c>
      <c r="L149" s="277">
        <f t="shared" si="52"/>
        <v>0.95799999999999996</v>
      </c>
      <c r="M149" s="277">
        <f t="shared" si="52"/>
        <v>0.95799999999999996</v>
      </c>
      <c r="N149" s="277">
        <f t="shared" si="52"/>
        <v>0.81399999999999995</v>
      </c>
      <c r="O149" s="277">
        <f t="shared" si="52"/>
        <v>1.0029999999999999</v>
      </c>
      <c r="P149" s="277">
        <f t="shared" si="52"/>
        <v>0.97499999999999998</v>
      </c>
      <c r="Q149" s="277">
        <f t="shared" si="52"/>
        <v>1.3740000000000001</v>
      </c>
      <c r="R149" s="277">
        <f t="shared" si="52"/>
        <v>-0.60099999999999998</v>
      </c>
      <c r="S149" s="277">
        <f t="shared" si="52"/>
        <v>-0.51500000000000001</v>
      </c>
      <c r="T149" s="277">
        <f t="shared" si="52"/>
        <v>-0.60099999999999998</v>
      </c>
      <c r="U149" s="270"/>
      <c r="V149" s="277">
        <f t="shared" ref="V149:V154" si="53">ROUND( V120, $H76)</f>
        <v>-0.51500000000000001</v>
      </c>
      <c r="W149" s="270"/>
      <c r="X149" s="277">
        <f t="shared" ref="X149:X154" si="54">ROUND( X120, $H76)</f>
        <v>-0.29599999999999999</v>
      </c>
      <c r="Y149" s="270"/>
      <c r="Z149" s="269"/>
      <c r="AA149" s="269"/>
    </row>
    <row r="150" spans="2:27" x14ac:dyDescent="0.25">
      <c r="C150" s="88"/>
      <c r="F150" t="s">
        <v>158</v>
      </c>
      <c r="G150" t="s">
        <v>269</v>
      </c>
      <c r="H150" s="284"/>
      <c r="I150" s="269"/>
      <c r="J150" s="277">
        <f t="shared" si="52"/>
        <v>0.51600000000000001</v>
      </c>
      <c r="K150" s="277">
        <f t="shared" si="52"/>
        <v>0.51600000000000001</v>
      </c>
      <c r="L150" s="277">
        <f t="shared" si="52"/>
        <v>0.51200000000000001</v>
      </c>
      <c r="M150" s="277">
        <f t="shared" si="52"/>
        <v>0.51200000000000001</v>
      </c>
      <c r="N150" s="277">
        <f t="shared" si="52"/>
        <v>0.502</v>
      </c>
      <c r="O150" s="277">
        <f t="shared" si="52"/>
        <v>0.72199999999999998</v>
      </c>
      <c r="P150" s="277">
        <f t="shared" si="52"/>
        <v>0.80800000000000005</v>
      </c>
      <c r="Q150" s="277">
        <f t="shared" si="52"/>
        <v>0.95</v>
      </c>
      <c r="R150" s="277">
        <f t="shared" si="52"/>
        <v>-3.6999999999999998E-2</v>
      </c>
      <c r="S150" s="277">
        <f t="shared" si="52"/>
        <v>-3.1E-2</v>
      </c>
      <c r="T150" s="277">
        <f t="shared" si="52"/>
        <v>-3.6999999999999998E-2</v>
      </c>
      <c r="U150" s="270"/>
      <c r="V150" s="277">
        <f t="shared" si="53"/>
        <v>-3.1E-2</v>
      </c>
      <c r="W150" s="270"/>
      <c r="X150" s="277">
        <f t="shared" si="54"/>
        <v>-1.6E-2</v>
      </c>
      <c r="Y150" s="270"/>
      <c r="Z150" s="269"/>
      <c r="AA150" s="269"/>
    </row>
    <row r="151" spans="2:27" x14ac:dyDescent="0.25">
      <c r="C151" s="88"/>
      <c r="F151" t="s">
        <v>159</v>
      </c>
      <c r="G151" t="s">
        <v>270</v>
      </c>
      <c r="H151" s="51"/>
      <c r="J151" s="121">
        <f t="shared" si="52"/>
        <v>2.14</v>
      </c>
      <c r="K151" s="121">
        <f t="shared" si="52"/>
        <v>0</v>
      </c>
      <c r="L151" s="121">
        <f t="shared" si="52"/>
        <v>4.18</v>
      </c>
      <c r="M151" s="121">
        <f t="shared" si="52"/>
        <v>0</v>
      </c>
      <c r="N151" s="121">
        <f t="shared" si="52"/>
        <v>6.35</v>
      </c>
      <c r="O151" s="121">
        <f t="shared" si="52"/>
        <v>7.22</v>
      </c>
      <c r="P151" s="121">
        <f t="shared" si="52"/>
        <v>74.099999999999994</v>
      </c>
      <c r="Q151" s="121">
        <f t="shared" si="52"/>
        <v>0</v>
      </c>
      <c r="R151" s="121">
        <f t="shared" si="52"/>
        <v>0</v>
      </c>
      <c r="S151" s="121">
        <f t="shared" si="52"/>
        <v>0</v>
      </c>
      <c r="T151" s="121">
        <f t="shared" si="52"/>
        <v>0</v>
      </c>
      <c r="U151" s="79"/>
      <c r="V151" s="121">
        <f t="shared" si="53"/>
        <v>0</v>
      </c>
      <c r="W151" s="79"/>
      <c r="X151" s="121">
        <f t="shared" si="54"/>
        <v>0</v>
      </c>
      <c r="Y151" s="79"/>
    </row>
    <row r="152" spans="2:27" x14ac:dyDescent="0.25">
      <c r="C152" s="88"/>
      <c r="F152" t="s">
        <v>160</v>
      </c>
      <c r="G152" t="s">
        <v>271</v>
      </c>
      <c r="H152" s="51"/>
      <c r="J152" s="121">
        <f t="shared" si="52"/>
        <v>0</v>
      </c>
      <c r="K152" s="121">
        <f t="shared" si="52"/>
        <v>0</v>
      </c>
      <c r="L152" s="121">
        <f t="shared" si="52"/>
        <v>0</v>
      </c>
      <c r="M152" s="121">
        <f t="shared" si="52"/>
        <v>0</v>
      </c>
      <c r="N152" s="121">
        <f t="shared" si="52"/>
        <v>1.6</v>
      </c>
      <c r="O152" s="121">
        <f t="shared" si="52"/>
        <v>2.84</v>
      </c>
      <c r="P152" s="121">
        <f t="shared" si="52"/>
        <v>3.91</v>
      </c>
      <c r="Q152" s="121">
        <f t="shared" si="52"/>
        <v>0</v>
      </c>
      <c r="R152" s="121">
        <f t="shared" si="52"/>
        <v>0</v>
      </c>
      <c r="S152" s="121">
        <f t="shared" si="52"/>
        <v>0</v>
      </c>
      <c r="T152" s="121">
        <f t="shared" si="52"/>
        <v>0</v>
      </c>
      <c r="U152" s="79"/>
      <c r="V152" s="121">
        <f t="shared" si="53"/>
        <v>0</v>
      </c>
      <c r="W152" s="79"/>
      <c r="X152" s="121">
        <f t="shared" si="54"/>
        <v>0</v>
      </c>
      <c r="Y152" s="79"/>
    </row>
    <row r="153" spans="2:27" x14ac:dyDescent="0.25">
      <c r="C153" s="88"/>
      <c r="F153" t="s">
        <v>161</v>
      </c>
      <c r="G153" t="s">
        <v>271</v>
      </c>
      <c r="H153" s="51"/>
      <c r="J153" s="121">
        <f t="shared" si="52"/>
        <v>0</v>
      </c>
      <c r="K153" s="121">
        <f t="shared" si="52"/>
        <v>0</v>
      </c>
      <c r="L153" s="121">
        <f t="shared" si="52"/>
        <v>0</v>
      </c>
      <c r="M153" s="121">
        <f t="shared" si="52"/>
        <v>0</v>
      </c>
      <c r="N153" s="121">
        <f t="shared" si="52"/>
        <v>3.18</v>
      </c>
      <c r="O153" s="121">
        <f t="shared" si="52"/>
        <v>4.29</v>
      </c>
      <c r="P153" s="121">
        <f t="shared" si="52"/>
        <v>5.66</v>
      </c>
      <c r="Q153" s="121">
        <f t="shared" si="52"/>
        <v>0</v>
      </c>
      <c r="R153" s="121">
        <f t="shared" si="52"/>
        <v>0</v>
      </c>
      <c r="S153" s="121">
        <f t="shared" si="52"/>
        <v>0</v>
      </c>
      <c r="T153" s="121">
        <f t="shared" si="52"/>
        <v>0</v>
      </c>
      <c r="U153" s="79"/>
      <c r="V153" s="121">
        <f t="shared" si="53"/>
        <v>0</v>
      </c>
      <c r="W153" s="79"/>
      <c r="X153" s="121">
        <f t="shared" si="54"/>
        <v>0</v>
      </c>
      <c r="Y153" s="79"/>
    </row>
    <row r="154" spans="2:27" x14ac:dyDescent="0.25">
      <c r="C154" s="88"/>
      <c r="F154" s="37" t="s">
        <v>162</v>
      </c>
      <c r="G154" s="37" t="s">
        <v>272</v>
      </c>
      <c r="H154" s="288"/>
      <c r="I154" s="273"/>
      <c r="J154" s="278">
        <f t="shared" si="52"/>
        <v>0</v>
      </c>
      <c r="K154" s="278">
        <f t="shared" si="52"/>
        <v>0</v>
      </c>
      <c r="L154" s="278">
        <f t="shared" si="52"/>
        <v>0</v>
      </c>
      <c r="M154" s="278">
        <f t="shared" si="52"/>
        <v>0</v>
      </c>
      <c r="N154" s="278">
        <f t="shared" si="52"/>
        <v>8.6999999999999994E-2</v>
      </c>
      <c r="O154" s="278">
        <f t="shared" si="52"/>
        <v>0.09</v>
      </c>
      <c r="P154" s="278">
        <f t="shared" si="52"/>
        <v>5.1999999999999998E-2</v>
      </c>
      <c r="Q154" s="278">
        <f t="shared" si="52"/>
        <v>0</v>
      </c>
      <c r="R154" s="278">
        <f t="shared" si="52"/>
        <v>0</v>
      </c>
      <c r="S154" s="278">
        <f t="shared" si="52"/>
        <v>0</v>
      </c>
      <c r="T154" s="278">
        <f t="shared" si="52"/>
        <v>0.156</v>
      </c>
      <c r="U154" s="274"/>
      <c r="V154" s="278">
        <f t="shared" si="53"/>
        <v>0.13100000000000001</v>
      </c>
      <c r="W154" s="274"/>
      <c r="X154" s="278">
        <f t="shared" si="54"/>
        <v>0.105</v>
      </c>
      <c r="Y154" s="274"/>
      <c r="Z154" s="269"/>
      <c r="AA154" s="269"/>
    </row>
    <row r="155" spans="2:27" x14ac:dyDescent="0.25">
      <c r="C155" s="88"/>
    </row>
    <row r="156" spans="2:27" x14ac:dyDescent="0.25">
      <c r="B156" s="30" t="s">
        <v>231</v>
      </c>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row>
    <row r="158" spans="2:27" x14ac:dyDescent="0.25">
      <c r="E158" t="s">
        <v>232</v>
      </c>
      <c r="G158" s="6" t="s">
        <v>55</v>
      </c>
      <c r="H158" s="26">
        <f t="array" ref="H158">SUM(IF(ISERROR(H20:Y154), 1))</f>
        <v>0</v>
      </c>
    </row>
    <row r="160" spans="2:27" x14ac:dyDescent="0.25">
      <c r="B160" s="30" t="s">
        <v>106</v>
      </c>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row>
  </sheetData>
  <sheetProtection sheet="1" objects="1" formatCells="0" formatColumns="0" formatRows="0" sort="0" autoFilter="0"/>
  <conditionalFormatting sqref="H158">
    <cfRule type="cellIs" dxfId="23" priority="10" operator="greaterThan">
      <formula>0</formula>
    </cfRule>
  </conditionalFormatting>
  <conditionalFormatting sqref="A4:I4 Z4:XFD4">
    <cfRule type="expression" dxfId="22" priority="9">
      <formula>LEFT($A$4,1) &lt;&gt; "0"</formula>
    </cfRule>
  </conditionalFormatting>
  <conditionalFormatting sqref="N4:P4">
    <cfRule type="expression" dxfId="21" priority="8">
      <formula>LEFT($A$4,1) &lt;&gt; "0"</formula>
    </cfRule>
  </conditionalFormatting>
  <conditionalFormatting sqref="L4:M4">
    <cfRule type="expression" dxfId="20" priority="7">
      <formula>LEFT($A$4,1) &lt;&gt; "0"</formula>
    </cfRule>
  </conditionalFormatting>
  <conditionalFormatting sqref="J4:K4">
    <cfRule type="expression" dxfId="19" priority="6">
      <formula>LEFT($A$4,1) &lt;&gt; "0"</formula>
    </cfRule>
  </conditionalFormatting>
  <conditionalFormatting sqref="Q4">
    <cfRule type="expression" dxfId="18" priority="5">
      <formula>LEFT($A$4,1) &lt;&gt; "0"</formula>
    </cfRule>
  </conditionalFormatting>
  <conditionalFormatting sqref="R4:S4">
    <cfRule type="expression" dxfId="17" priority="4">
      <formula>LEFT($A$4,1) &lt;&gt; "0"</formula>
    </cfRule>
  </conditionalFormatting>
  <conditionalFormatting sqref="T4:U4">
    <cfRule type="expression" dxfId="16" priority="3">
      <formula>LEFT($A$4,1) &lt;&gt; "0"</formula>
    </cfRule>
  </conditionalFormatting>
  <conditionalFormatting sqref="V4:W4">
    <cfRule type="expression" dxfId="15" priority="2">
      <formula>LEFT($A$4,1) &lt;&gt; "0"</formula>
    </cfRule>
  </conditionalFormatting>
  <conditionalFormatting sqref="X4:Y4">
    <cfRule type="expression" dxfId="14" priority="1">
      <formula>LEFT($A$4,1) &lt;&gt; "0"</formula>
    </cfRule>
  </conditionalFormatting>
  <hyperlinks>
    <hyperlink ref="B5:F5" location="'Model map'!A1" display="Click here to return to model map"/>
    <hyperlink ref="AA7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pageSetUpPr fitToPage="1"/>
  </sheetPr>
  <dimension ref="A1:BI201"/>
  <sheetViews>
    <sheetView showGridLines="0" zoomScale="80" zoomScaleNormal="80" workbookViewId="0">
      <pane xSplit="9" ySplit="5" topLeftCell="J81" activePane="bottomRight" state="frozen"/>
      <selection pane="topRight"/>
      <selection pane="bottomLeft"/>
      <selection pane="bottomRight" activeCell="F83" sqref="F83:H112"/>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61" width="0" hidden="1" customWidth="1"/>
    <col min="62" max="16384" width="9.28515625" hidden="1"/>
  </cols>
  <sheetData>
    <row r="1" spans="1:27" s="1" customFormat="1" x14ac:dyDescent="0.25">
      <c r="A1" s="1" t="str">
        <f ca="1">MID(CELL("filename",A1),FIND("]",CELL("filename",A1))+1,255)</f>
        <v>Net revenue summary</v>
      </c>
    </row>
    <row r="2" spans="1:27" s="1" customFormat="1" x14ac:dyDescent="0.25">
      <c r="A2" s="1" t="str">
        <f>Cover!D21&amp;" - "&amp;Cover!D23</f>
        <v>WPD East Midlands - April 21 Prices</v>
      </c>
    </row>
    <row r="3" spans="1:27" s="5" customFormat="1" x14ac:dyDescent="0.25">
      <c r="A3" s="5" t="str">
        <f>Cover!D2&amp;" - "&amp;Cover!D8&amp;" v"&amp;Cover!D10&amp;" - "&amp;Cover!D19</f>
        <v>CDCM charging model - Release for charge setting v5 - 2021/22</v>
      </c>
    </row>
    <row r="4" spans="1:27" x14ac:dyDescent="0.25">
      <c r="A4" s="12" t="str">
        <f>H199 &amp; IF(H199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868</v>
      </c>
    </row>
    <row r="10" spans="1:27" x14ac:dyDescent="0.25">
      <c r="C10" s="28"/>
    </row>
    <row r="11" spans="1:27" x14ac:dyDescent="0.25">
      <c r="B11" s="30" t="s">
        <v>869</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row>
    <row r="12" spans="1:27" x14ac:dyDescent="0.25">
      <c r="D12" s="2"/>
      <c r="E12" s="2"/>
    </row>
    <row r="13" spans="1:27" x14ac:dyDescent="0.25">
      <c r="C13" s="31" t="str">
        <f ca="1">INDEX('Version control'!$H$34:$H$57,MATCH($A$1,'Version control'!$F$34:$F$57,0),1)&amp;"-A: Volume forecasts"</f>
        <v>Section 118-A: Volume forecasts</v>
      </c>
      <c r="D13" s="31"/>
      <c r="E13" s="31"/>
      <c r="F13" s="31"/>
      <c r="G13" s="31"/>
      <c r="H13" s="31"/>
      <c r="I13" s="31"/>
      <c r="J13" s="31"/>
      <c r="K13" s="31"/>
      <c r="L13" s="31"/>
      <c r="M13" s="31"/>
      <c r="N13" s="31"/>
      <c r="O13" s="31"/>
      <c r="P13" s="31"/>
      <c r="Q13" s="31"/>
      <c r="R13" s="31"/>
      <c r="S13" s="31"/>
      <c r="T13" s="31"/>
      <c r="U13" s="31"/>
      <c r="V13" s="31"/>
      <c r="W13" s="31"/>
      <c r="X13" s="31"/>
      <c r="Y13" s="31"/>
      <c r="Z13" s="31"/>
      <c r="AA13" s="31"/>
    </row>
    <row r="14" spans="1:27" x14ac:dyDescent="0.25">
      <c r="D14" s="32"/>
    </row>
    <row r="15" spans="1:27" x14ac:dyDescent="0.25">
      <c r="E15" s="32" t="s">
        <v>245</v>
      </c>
      <c r="I15" t="s">
        <v>154</v>
      </c>
      <c r="AA15" t="s">
        <v>246</v>
      </c>
    </row>
    <row r="16" spans="1:27" x14ac:dyDescent="0.25">
      <c r="F16" s="78" t="s">
        <v>247</v>
      </c>
      <c r="G16" s="78" t="s">
        <v>207</v>
      </c>
      <c r="H16" s="23"/>
      <c r="I16" s="23"/>
      <c r="J16" s="124">
        <f>'Inputs by customer type'!J21</f>
        <v>970871.82362676424</v>
      </c>
      <c r="K16" s="124">
        <f>'Inputs by customer type'!K21</f>
        <v>844.76303646099564</v>
      </c>
      <c r="L16" s="124">
        <f>'Inputs by customer type'!L21</f>
        <v>327000</v>
      </c>
      <c r="M16" s="124">
        <f>'Inputs by customer type'!M21</f>
        <v>29.861394683968697</v>
      </c>
      <c r="N16" s="124">
        <f>'Inputs by customer type'!N21</f>
        <v>336787.25975763035</v>
      </c>
      <c r="O16" s="124">
        <f>'Inputs by customer type'!O21</f>
        <v>26999.983315427104</v>
      </c>
      <c r="P16" s="124">
        <f>'Inputs by customer type'!P21</f>
        <v>683754.16626766091</v>
      </c>
      <c r="Q16" s="124">
        <f>'Inputs by customer type'!Q21</f>
        <v>9789.5205727051216</v>
      </c>
      <c r="R16" s="124">
        <f>'Inputs by customer type'!R21</f>
        <v>111.48905236288842</v>
      </c>
      <c r="S16" s="124">
        <f>'Inputs by customer type'!S21</f>
        <v>0</v>
      </c>
      <c r="T16" s="124">
        <f>'Inputs by customer type'!T21</f>
        <v>4546.0607835589108</v>
      </c>
      <c r="U16" s="124">
        <f>'Inputs by customer type'!U21</f>
        <v>0</v>
      </c>
      <c r="V16" s="124">
        <f>'Inputs by customer type'!V21</f>
        <v>615.06552578097023</v>
      </c>
      <c r="W16" s="124">
        <f>'Inputs by customer type'!W21</f>
        <v>0</v>
      </c>
      <c r="X16" s="124">
        <f>'Inputs by customer type'!X21</f>
        <v>229961.87994000159</v>
      </c>
      <c r="Y16" s="124">
        <f>'Inputs by customer type'!Y21</f>
        <v>0</v>
      </c>
    </row>
    <row r="17" spans="5:27" x14ac:dyDescent="0.25">
      <c r="E17" s="28"/>
      <c r="F17" s="72" t="s">
        <v>248</v>
      </c>
      <c r="G17" s="72" t="s">
        <v>207</v>
      </c>
      <c r="J17" s="120">
        <f>'Inputs by customer type'!J22</f>
        <v>2877584.0133267501</v>
      </c>
      <c r="K17" s="120">
        <f>'Inputs by customer type'!K22</f>
        <v>5440.3358304795011</v>
      </c>
      <c r="L17" s="120">
        <f>'Inputs by customer type'!L22</f>
        <v>1347000</v>
      </c>
      <c r="M17" s="120">
        <f>'Inputs by customer type'!M22</f>
        <v>464.08328869228717</v>
      </c>
      <c r="N17" s="120">
        <f>'Inputs by customer type'!N22</f>
        <v>1423327.1096899852</v>
      </c>
      <c r="O17" s="120">
        <f>'Inputs by customer type'!O22</f>
        <v>99999.933045702928</v>
      </c>
      <c r="P17" s="120">
        <f>'Inputs by customer type'!P22</f>
        <v>2612881.953087254</v>
      </c>
      <c r="Q17" s="120">
        <f>'Inputs by customer type'!Q22</f>
        <v>48857.68668448575</v>
      </c>
      <c r="R17" s="120">
        <f>'Inputs by customer type'!R22</f>
        <v>613.18218023126963</v>
      </c>
      <c r="S17" s="120">
        <f>'Inputs by customer type'!S22</f>
        <v>0</v>
      </c>
      <c r="T17" s="120">
        <f>'Inputs by customer type'!T22</f>
        <v>22509.835347796026</v>
      </c>
      <c r="U17" s="120">
        <f>'Inputs by customer type'!U22</f>
        <v>0</v>
      </c>
      <c r="V17" s="120">
        <f>'Inputs by customer type'!V22</f>
        <v>2420.0756967191228</v>
      </c>
      <c r="W17" s="120">
        <f>'Inputs by customer type'!W22</f>
        <v>0</v>
      </c>
      <c r="X17" s="120">
        <f>'Inputs by customer type'!X22</f>
        <v>553493.31010462705</v>
      </c>
      <c r="Y17" s="120">
        <f>'Inputs by customer type'!Y22</f>
        <v>0</v>
      </c>
    </row>
    <row r="18" spans="5:27" x14ac:dyDescent="0.25">
      <c r="E18" s="28"/>
      <c r="F18" s="72" t="s">
        <v>249</v>
      </c>
      <c r="G18" s="72" t="s">
        <v>207</v>
      </c>
      <c r="J18" s="120">
        <f>'Inputs by customer type'!J23</f>
        <v>4767280.9236435853</v>
      </c>
      <c r="K18" s="120">
        <f>'Inputs by customer type'!K23</f>
        <v>9899.7165488828668</v>
      </c>
      <c r="L18" s="120">
        <f>'Inputs by customer type'!L23</f>
        <v>1478999.9999999991</v>
      </c>
      <c r="M18" s="120">
        <f>'Inputs by customer type'!M23</f>
        <v>1793.2522001264201</v>
      </c>
      <c r="N18" s="120">
        <f>'Inputs by customer type'!N23</f>
        <v>1552629.3612040761</v>
      </c>
      <c r="O18" s="120">
        <f>'Inputs by customer type'!O23</f>
        <v>113999.95277009411</v>
      </c>
      <c r="P18" s="120">
        <f>'Inputs by customer type'!P23</f>
        <v>3724107.6112967753</v>
      </c>
      <c r="Q18" s="120">
        <f>'Inputs by customer type'!Q23</f>
        <v>162200.78716886745</v>
      </c>
      <c r="R18" s="120">
        <f>'Inputs by customer type'!R23</f>
        <v>360.39625966114863</v>
      </c>
      <c r="S18" s="120">
        <f>'Inputs by customer type'!S23</f>
        <v>0</v>
      </c>
      <c r="T18" s="120">
        <f>'Inputs by customer type'!T23</f>
        <v>23742.428245022977</v>
      </c>
      <c r="U18" s="120">
        <f>'Inputs by customer type'!U23</f>
        <v>0</v>
      </c>
      <c r="V18" s="120">
        <f>'Inputs by customer type'!V23</f>
        <v>4177.5270200851664</v>
      </c>
      <c r="W18" s="120">
        <f>'Inputs by customer type'!W23</f>
        <v>0</v>
      </c>
      <c r="X18" s="120">
        <f>'Inputs by customer type'!X23</f>
        <v>650372.22755506483</v>
      </c>
      <c r="Y18" s="120">
        <f>'Inputs by customer type'!Y23</f>
        <v>0</v>
      </c>
    </row>
    <row r="19" spans="5:27" x14ac:dyDescent="0.25">
      <c r="E19" s="28"/>
      <c r="F19" s="72" t="s">
        <v>212</v>
      </c>
      <c r="G19" s="72" t="s">
        <v>212</v>
      </c>
      <c r="J19" s="120">
        <f>'Inputs by customer type'!J24</f>
        <v>2477513.7178437123</v>
      </c>
      <c r="K19" s="120">
        <f>'Inputs by customer type'!K24</f>
        <v>0</v>
      </c>
      <c r="L19" s="120">
        <f>'Inputs by customer type'!L24</f>
        <v>185569.60899648417</v>
      </c>
      <c r="M19" s="120">
        <f>'Inputs by customer type'!M24</f>
        <v>0</v>
      </c>
      <c r="N19" s="120">
        <f>'Inputs by customer type'!N24</f>
        <v>15340.276254392342</v>
      </c>
      <c r="O19" s="120">
        <f>'Inputs by customer type'!O24</f>
        <v>459.27543026736708</v>
      </c>
      <c r="P19" s="120">
        <f>'Inputs by customer type'!P24</f>
        <v>3354.375620826745</v>
      </c>
      <c r="Q19" s="120">
        <f>'Inputs by customer type'!Q24</f>
        <v>31.606325583497927</v>
      </c>
      <c r="R19" s="120">
        <f>'Inputs by customer type'!R24</f>
        <v>0</v>
      </c>
      <c r="S19" s="120">
        <f>'Inputs by customer type'!S24</f>
        <v>0</v>
      </c>
      <c r="T19" s="120">
        <f>'Inputs by customer type'!T24</f>
        <v>737.24112185551337</v>
      </c>
      <c r="U19" s="120">
        <f>'Inputs by customer type'!U24</f>
        <v>0</v>
      </c>
      <c r="V19" s="120">
        <f>'Inputs by customer type'!V24</f>
        <v>52.799295590310457</v>
      </c>
      <c r="W19" s="120">
        <f>'Inputs by customer type'!W24</f>
        <v>0</v>
      </c>
      <c r="X19" s="120">
        <f>'Inputs by customer type'!X24</f>
        <v>465.20466013888074</v>
      </c>
      <c r="Y19" s="120">
        <f>'Inputs by customer type'!Y24</f>
        <v>0</v>
      </c>
    </row>
    <row r="20" spans="5:27" x14ac:dyDescent="0.25">
      <c r="E20" s="28"/>
      <c r="F20" s="72" t="s">
        <v>250</v>
      </c>
      <c r="G20" s="72" t="s">
        <v>251</v>
      </c>
      <c r="J20" s="120">
        <f>'Inputs by customer type'!J25</f>
        <v>0</v>
      </c>
      <c r="K20" s="120">
        <f>'Inputs by customer type'!K25</f>
        <v>0</v>
      </c>
      <c r="L20" s="120">
        <f>'Inputs by customer type'!L25</f>
        <v>0</v>
      </c>
      <c r="M20" s="120">
        <f>'Inputs by customer type'!M25</f>
        <v>0</v>
      </c>
      <c r="N20" s="120">
        <f>'Inputs by customer type'!N25</f>
        <v>2030032.333333334</v>
      </c>
      <c r="O20" s="120">
        <f>'Inputs by customer type'!O25</f>
        <v>145993.66666666666</v>
      </c>
      <c r="P20" s="120">
        <f>'Inputs by customer type'!P25</f>
        <v>2724720.666666666</v>
      </c>
      <c r="Q20" s="120">
        <f>'Inputs by customer type'!Q25</f>
        <v>0</v>
      </c>
      <c r="R20" s="120">
        <f>'Inputs by customer type'!R25</f>
        <v>0</v>
      </c>
      <c r="S20" s="120">
        <f>'Inputs by customer type'!S25</f>
        <v>0</v>
      </c>
      <c r="T20" s="120">
        <f>'Inputs by customer type'!T25</f>
        <v>0</v>
      </c>
      <c r="U20" s="120">
        <f>'Inputs by customer type'!U25</f>
        <v>0</v>
      </c>
      <c r="V20" s="120">
        <f>'Inputs by customer type'!V25</f>
        <v>0</v>
      </c>
      <c r="W20" s="120">
        <f>'Inputs by customer type'!W25</f>
        <v>0</v>
      </c>
      <c r="X20" s="120">
        <f>'Inputs by customer type'!X25</f>
        <v>0</v>
      </c>
      <c r="Y20" s="120">
        <f>'Inputs by customer type'!Y25</f>
        <v>0</v>
      </c>
    </row>
    <row r="21" spans="5:27" x14ac:dyDescent="0.25">
      <c r="E21" s="28"/>
      <c r="F21" s="72" t="s">
        <v>252</v>
      </c>
      <c r="G21" s="72" t="s">
        <v>251</v>
      </c>
      <c r="J21" s="120">
        <f>'Inputs by customer type'!J26</f>
        <v>0</v>
      </c>
      <c r="K21" s="120">
        <f>'Inputs by customer type'!K26</f>
        <v>0</v>
      </c>
      <c r="L21" s="120">
        <f>'Inputs by customer type'!L26</f>
        <v>0</v>
      </c>
      <c r="M21" s="120">
        <f>'Inputs by customer type'!M26</f>
        <v>0</v>
      </c>
      <c r="N21" s="120">
        <f>'Inputs by customer type'!N26</f>
        <v>35413.466622889064</v>
      </c>
      <c r="O21" s="120">
        <f>'Inputs by customer type'!O26</f>
        <v>2300.8761139243957</v>
      </c>
      <c r="P21" s="120">
        <f>'Inputs by customer type'!P26</f>
        <v>45458.070512389117</v>
      </c>
      <c r="Q21" s="120">
        <f>'Inputs by customer type'!Q26</f>
        <v>0</v>
      </c>
      <c r="R21" s="120">
        <f>'Inputs by customer type'!R26</f>
        <v>0</v>
      </c>
      <c r="S21" s="120">
        <f>'Inputs by customer type'!S26</f>
        <v>0</v>
      </c>
      <c r="T21" s="120">
        <f>'Inputs by customer type'!T26</f>
        <v>0</v>
      </c>
      <c r="U21" s="120">
        <f>'Inputs by customer type'!U26</f>
        <v>0</v>
      </c>
      <c r="V21" s="120">
        <f>'Inputs by customer type'!V26</f>
        <v>0</v>
      </c>
      <c r="W21" s="120">
        <f>'Inputs by customer type'!W26</f>
        <v>0</v>
      </c>
      <c r="X21" s="120">
        <f>'Inputs by customer type'!X26</f>
        <v>0</v>
      </c>
      <c r="Y21" s="120">
        <f>'Inputs by customer type'!Y26</f>
        <v>0</v>
      </c>
    </row>
    <row r="22" spans="5:27" x14ac:dyDescent="0.25">
      <c r="E22" s="28"/>
      <c r="F22" s="80" t="s">
        <v>253</v>
      </c>
      <c r="G22" s="80" t="s">
        <v>254</v>
      </c>
      <c r="H22" s="37"/>
      <c r="I22" s="37"/>
      <c r="J22" s="125">
        <f>'Inputs by customer type'!J27</f>
        <v>0</v>
      </c>
      <c r="K22" s="125">
        <f>'Inputs by customer type'!K27</f>
        <v>0</v>
      </c>
      <c r="L22" s="125">
        <f>'Inputs by customer type'!L27</f>
        <v>0</v>
      </c>
      <c r="M22" s="125">
        <f>'Inputs by customer type'!M27</f>
        <v>0</v>
      </c>
      <c r="N22" s="125">
        <f>'Inputs by customer type'!N27</f>
        <v>358169.51540509035</v>
      </c>
      <c r="O22" s="125">
        <f>'Inputs by customer type'!O27</f>
        <v>30403.575649655326</v>
      </c>
      <c r="P22" s="125">
        <f>'Inputs by customer type'!P27</f>
        <v>596771.25085227774</v>
      </c>
      <c r="Q22" s="125">
        <f>'Inputs by customer type'!Q27</f>
        <v>0</v>
      </c>
      <c r="R22" s="125">
        <f>'Inputs by customer type'!R27</f>
        <v>0</v>
      </c>
      <c r="S22" s="125">
        <f>'Inputs by customer type'!S27</f>
        <v>0</v>
      </c>
      <c r="T22" s="125">
        <f>'Inputs by customer type'!T27</f>
        <v>3718.6903349793351</v>
      </c>
      <c r="U22" s="125">
        <f>'Inputs by customer type'!U27</f>
        <v>0</v>
      </c>
      <c r="V22" s="125">
        <f>'Inputs by customer type'!V27</f>
        <v>530.87127369074199</v>
      </c>
      <c r="W22" s="125">
        <f>'Inputs by customer type'!W27</f>
        <v>0</v>
      </c>
      <c r="X22" s="125">
        <f>'Inputs by customer type'!X27</f>
        <v>17917.3014398864</v>
      </c>
      <c r="Y22" s="125">
        <f>'Inputs by customer type'!Y27</f>
        <v>0</v>
      </c>
    </row>
    <row r="23" spans="5:27" s="261" customFormat="1" x14ac:dyDescent="0.25">
      <c r="E23" s="265"/>
      <c r="F23" s="239"/>
      <c r="G23" s="239"/>
      <c r="J23" s="266"/>
      <c r="K23" s="266"/>
      <c r="L23" s="266"/>
      <c r="M23" s="266"/>
      <c r="N23" s="266"/>
      <c r="O23" s="266"/>
      <c r="P23" s="266"/>
      <c r="Q23" s="266"/>
      <c r="R23" s="266"/>
      <c r="S23" s="266"/>
      <c r="T23" s="266"/>
      <c r="U23" s="266"/>
      <c r="V23" s="266"/>
      <c r="W23" s="266"/>
      <c r="X23" s="266"/>
      <c r="Y23" s="266"/>
    </row>
    <row r="24" spans="5:27" x14ac:dyDescent="0.25">
      <c r="E24" s="32" t="s">
        <v>255</v>
      </c>
      <c r="F24" s="80"/>
      <c r="G24" s="80"/>
      <c r="H24" s="37"/>
      <c r="I24" t="s">
        <v>154</v>
      </c>
      <c r="J24" s="82"/>
      <c r="K24" s="82"/>
      <c r="L24" s="82"/>
      <c r="M24" s="82"/>
      <c r="N24" s="82"/>
      <c r="O24" s="82"/>
      <c r="P24" s="82"/>
      <c r="Q24" s="82"/>
      <c r="R24" s="82"/>
      <c r="S24" s="82"/>
      <c r="T24" s="82"/>
      <c r="U24" s="82"/>
      <c r="V24" s="82"/>
      <c r="W24" s="82"/>
      <c r="X24" s="82"/>
      <c r="Y24" s="82"/>
      <c r="AA24" t="s">
        <v>246</v>
      </c>
    </row>
    <row r="25" spans="5:27" x14ac:dyDescent="0.25">
      <c r="F25" s="72" t="s">
        <v>247</v>
      </c>
      <c r="G25" s="72" t="s">
        <v>207</v>
      </c>
      <c r="I25" s="23"/>
      <c r="J25" s="124">
        <f>'Inputs by customer type'!J30</f>
        <v>13094.198445379177</v>
      </c>
      <c r="K25" s="124">
        <f>'Inputs by customer type'!K30</f>
        <v>0</v>
      </c>
      <c r="L25" s="124">
        <f>'Inputs by customer type'!L30</f>
        <v>453.23891000724058</v>
      </c>
      <c r="M25" s="124">
        <f>'Inputs by customer type'!M30</f>
        <v>0</v>
      </c>
      <c r="N25" s="124">
        <f>'Inputs by customer type'!N30</f>
        <v>1820.076548773663</v>
      </c>
      <c r="O25" s="124">
        <f>'Inputs by customer type'!O30</f>
        <v>0</v>
      </c>
      <c r="P25" s="124">
        <f>'Inputs by customer type'!P30</f>
        <v>0</v>
      </c>
      <c r="Q25" s="124">
        <f>'Inputs by customer type'!Q30</f>
        <v>11.434200166760402</v>
      </c>
      <c r="R25" s="124">
        <f>'Inputs by customer type'!R30</f>
        <v>1.79133780607139</v>
      </c>
      <c r="S25" s="124">
        <f>'Inputs by customer type'!S30</f>
        <v>0</v>
      </c>
      <c r="T25" s="124">
        <f>'Inputs by customer type'!T30</f>
        <v>0</v>
      </c>
      <c r="U25" s="124">
        <f>'Inputs by customer type'!U30</f>
        <v>0</v>
      </c>
      <c r="V25" s="124">
        <f>'Inputs by customer type'!V30</f>
        <v>0</v>
      </c>
      <c r="W25" s="124">
        <f>'Inputs by customer type'!W30</f>
        <v>0</v>
      </c>
      <c r="X25" s="124">
        <f>'Inputs by customer type'!X30</f>
        <v>0</v>
      </c>
      <c r="Y25" s="124">
        <f>'Inputs by customer type'!Y30</f>
        <v>0</v>
      </c>
    </row>
    <row r="26" spans="5:27" x14ac:dyDescent="0.25">
      <c r="E26" s="28"/>
      <c r="F26" s="72" t="s">
        <v>248</v>
      </c>
      <c r="G26" s="72" t="s">
        <v>207</v>
      </c>
      <c r="J26" s="120">
        <f>'Inputs by customer type'!J31</f>
        <v>37530.497367451906</v>
      </c>
      <c r="K26" s="120">
        <f>'Inputs by customer type'!K31</f>
        <v>0</v>
      </c>
      <c r="L26" s="120">
        <f>'Inputs by customer type'!L31</f>
        <v>1957.0306683909123</v>
      </c>
      <c r="M26" s="120">
        <f>'Inputs by customer type'!M31</f>
        <v>0</v>
      </c>
      <c r="N26" s="120">
        <f>'Inputs by customer type'!N31</f>
        <v>6832.3555270600609</v>
      </c>
      <c r="O26" s="120">
        <f>'Inputs by customer type'!O31</f>
        <v>0</v>
      </c>
      <c r="P26" s="120">
        <f>'Inputs by customer type'!P31</f>
        <v>0</v>
      </c>
      <c r="Q26" s="120">
        <f>'Inputs by customer type'!Q31</f>
        <v>133.52332608419727</v>
      </c>
      <c r="R26" s="120">
        <f>'Inputs by customer type'!R31</f>
        <v>8.5479186479091283</v>
      </c>
      <c r="S26" s="120">
        <f>'Inputs by customer type'!S31</f>
        <v>0</v>
      </c>
      <c r="T26" s="120">
        <f>'Inputs by customer type'!T31</f>
        <v>0</v>
      </c>
      <c r="U26" s="120">
        <f>'Inputs by customer type'!U31</f>
        <v>0</v>
      </c>
      <c r="V26" s="120">
        <f>'Inputs by customer type'!V31</f>
        <v>0</v>
      </c>
      <c r="W26" s="120">
        <f>'Inputs by customer type'!W31</f>
        <v>0</v>
      </c>
      <c r="X26" s="120">
        <f>'Inputs by customer type'!X31</f>
        <v>0</v>
      </c>
      <c r="Y26" s="120">
        <f>'Inputs by customer type'!Y31</f>
        <v>0</v>
      </c>
    </row>
    <row r="27" spans="5:27" x14ac:dyDescent="0.25">
      <c r="E27" s="28"/>
      <c r="F27" s="72" t="s">
        <v>249</v>
      </c>
      <c r="G27" s="72" t="s">
        <v>207</v>
      </c>
      <c r="J27" s="120">
        <f>'Inputs by customer type'!J32</f>
        <v>56461.54537947644</v>
      </c>
      <c r="K27" s="120">
        <f>'Inputs by customer type'!K32</f>
        <v>0</v>
      </c>
      <c r="L27" s="120">
        <f>'Inputs by customer type'!L32</f>
        <v>1844.1067569787656</v>
      </c>
      <c r="M27" s="120">
        <f>'Inputs by customer type'!M32</f>
        <v>0</v>
      </c>
      <c r="N27" s="120">
        <f>'Inputs by customer type'!N32</f>
        <v>8494.7049279408293</v>
      </c>
      <c r="O27" s="120">
        <f>'Inputs by customer type'!O32</f>
        <v>0</v>
      </c>
      <c r="P27" s="120">
        <f>'Inputs by customer type'!P32</f>
        <v>0</v>
      </c>
      <c r="Q27" s="120">
        <f>'Inputs by customer type'!Q32</f>
        <v>229.75708376026876</v>
      </c>
      <c r="R27" s="120">
        <f>'Inputs by customer type'!R32</f>
        <v>5.0449220883076977</v>
      </c>
      <c r="S27" s="120">
        <f>'Inputs by customer type'!S32</f>
        <v>0</v>
      </c>
      <c r="T27" s="120">
        <f>'Inputs by customer type'!T32</f>
        <v>0</v>
      </c>
      <c r="U27" s="120">
        <f>'Inputs by customer type'!U32</f>
        <v>0</v>
      </c>
      <c r="V27" s="120">
        <f>'Inputs by customer type'!V32</f>
        <v>0</v>
      </c>
      <c r="W27" s="120">
        <f>'Inputs by customer type'!W32</f>
        <v>0</v>
      </c>
      <c r="X27" s="120">
        <f>'Inputs by customer type'!X32</f>
        <v>0</v>
      </c>
      <c r="Y27" s="120">
        <f>'Inputs by customer type'!Y32</f>
        <v>0</v>
      </c>
    </row>
    <row r="28" spans="5:27" x14ac:dyDescent="0.25">
      <c r="E28" s="28"/>
      <c r="F28" s="72" t="s">
        <v>212</v>
      </c>
      <c r="G28" s="72" t="s">
        <v>212</v>
      </c>
      <c r="J28" s="120">
        <f>'Inputs by customer type'!J33</f>
        <v>37750.717101212329</v>
      </c>
      <c r="K28" s="120">
        <f>'Inputs by customer type'!K33</f>
        <v>0</v>
      </c>
      <c r="L28" s="120">
        <f>'Inputs by customer type'!L33</f>
        <v>675.59151524793992</v>
      </c>
      <c r="M28" s="120">
        <f>'Inputs by customer type'!M33</f>
        <v>0</v>
      </c>
      <c r="N28" s="120">
        <f>'Inputs by customer type'!N33</f>
        <v>72.304526182405169</v>
      </c>
      <c r="O28" s="120">
        <f>'Inputs by customer type'!O33</f>
        <v>0</v>
      </c>
      <c r="P28" s="120">
        <f>'Inputs by customer type'!P33</f>
        <v>0</v>
      </c>
      <c r="Q28" s="120">
        <f>'Inputs by customer type'!Q33</f>
        <v>0</v>
      </c>
      <c r="R28" s="120">
        <f>'Inputs by customer type'!R33</f>
        <v>0</v>
      </c>
      <c r="S28" s="120">
        <f>'Inputs by customer type'!S33</f>
        <v>0</v>
      </c>
      <c r="T28" s="120">
        <f>'Inputs by customer type'!T33</f>
        <v>0</v>
      </c>
      <c r="U28" s="120">
        <f>'Inputs by customer type'!U33</f>
        <v>0</v>
      </c>
      <c r="V28" s="120">
        <f>'Inputs by customer type'!V33</f>
        <v>0</v>
      </c>
      <c r="W28" s="120">
        <f>'Inputs by customer type'!W33</f>
        <v>0</v>
      </c>
      <c r="X28" s="120">
        <f>'Inputs by customer type'!X33</f>
        <v>0</v>
      </c>
      <c r="Y28" s="120">
        <f>'Inputs by customer type'!Y33</f>
        <v>0</v>
      </c>
    </row>
    <row r="29" spans="5:27" x14ac:dyDescent="0.25">
      <c r="E29" s="28"/>
      <c r="F29" s="72" t="s">
        <v>250</v>
      </c>
      <c r="G29" s="72" t="s">
        <v>251</v>
      </c>
      <c r="J29" s="120">
        <f>'Inputs by customer type'!J34</f>
        <v>0</v>
      </c>
      <c r="K29" s="120">
        <f>'Inputs by customer type'!K34</f>
        <v>0</v>
      </c>
      <c r="L29" s="120">
        <f>'Inputs by customer type'!L34</f>
        <v>0</v>
      </c>
      <c r="M29" s="120">
        <f>'Inputs by customer type'!M34</f>
        <v>0</v>
      </c>
      <c r="N29" s="120">
        <f>'Inputs by customer type'!N34</f>
        <v>13243.8451044416</v>
      </c>
      <c r="O29" s="120">
        <f>'Inputs by customer type'!O34</f>
        <v>0</v>
      </c>
      <c r="P29" s="120">
        <f>'Inputs by customer type'!P34</f>
        <v>0</v>
      </c>
      <c r="Q29" s="120">
        <f>'Inputs by customer type'!Q34</f>
        <v>0</v>
      </c>
      <c r="R29" s="120">
        <f>'Inputs by customer type'!R34</f>
        <v>0</v>
      </c>
      <c r="S29" s="120">
        <f>'Inputs by customer type'!S34</f>
        <v>0</v>
      </c>
      <c r="T29" s="120">
        <f>'Inputs by customer type'!T34</f>
        <v>0</v>
      </c>
      <c r="U29" s="120">
        <f>'Inputs by customer type'!U34</f>
        <v>0</v>
      </c>
      <c r="V29" s="120">
        <f>'Inputs by customer type'!V34</f>
        <v>0</v>
      </c>
      <c r="W29" s="120">
        <f>'Inputs by customer type'!W34</f>
        <v>0</v>
      </c>
      <c r="X29" s="120">
        <f>'Inputs by customer type'!X34</f>
        <v>0</v>
      </c>
      <c r="Y29" s="120">
        <f>'Inputs by customer type'!Y34</f>
        <v>0</v>
      </c>
    </row>
    <row r="30" spans="5:27" x14ac:dyDescent="0.25">
      <c r="E30" s="28"/>
      <c r="F30" s="72" t="s">
        <v>252</v>
      </c>
      <c r="G30" s="72" t="s">
        <v>251</v>
      </c>
      <c r="J30" s="120">
        <f>'Inputs by customer type'!J35</f>
        <v>0</v>
      </c>
      <c r="K30" s="120">
        <f>'Inputs by customer type'!K35</f>
        <v>0</v>
      </c>
      <c r="L30" s="120">
        <f>'Inputs by customer type'!L35</f>
        <v>0</v>
      </c>
      <c r="M30" s="120">
        <f>'Inputs by customer type'!M35</f>
        <v>0</v>
      </c>
      <c r="N30" s="120">
        <f>'Inputs by customer type'!N35</f>
        <v>35.71225127183866</v>
      </c>
      <c r="O30" s="120">
        <f>'Inputs by customer type'!O35</f>
        <v>0</v>
      </c>
      <c r="P30" s="120">
        <f>'Inputs by customer type'!P35</f>
        <v>0</v>
      </c>
      <c r="Q30" s="120">
        <f>'Inputs by customer type'!Q35</f>
        <v>0</v>
      </c>
      <c r="R30" s="120">
        <f>'Inputs by customer type'!R35</f>
        <v>0</v>
      </c>
      <c r="S30" s="120">
        <f>'Inputs by customer type'!S35</f>
        <v>0</v>
      </c>
      <c r="T30" s="120">
        <f>'Inputs by customer type'!T35</f>
        <v>0</v>
      </c>
      <c r="U30" s="120">
        <f>'Inputs by customer type'!U35</f>
        <v>0</v>
      </c>
      <c r="V30" s="120">
        <f>'Inputs by customer type'!V35</f>
        <v>0</v>
      </c>
      <c r="W30" s="120">
        <f>'Inputs by customer type'!W35</f>
        <v>0</v>
      </c>
      <c r="X30" s="120">
        <f>'Inputs by customer type'!X35</f>
        <v>0</v>
      </c>
      <c r="Y30" s="120">
        <f>'Inputs by customer type'!Y35</f>
        <v>0</v>
      </c>
    </row>
    <row r="31" spans="5:27" x14ac:dyDescent="0.25">
      <c r="E31" s="28"/>
      <c r="F31" s="80" t="s">
        <v>253</v>
      </c>
      <c r="G31" s="80" t="s">
        <v>254</v>
      </c>
      <c r="H31" s="37"/>
      <c r="I31" s="37"/>
      <c r="J31" s="125">
        <f>'Inputs by customer type'!J36</f>
        <v>0</v>
      </c>
      <c r="K31" s="125">
        <f>'Inputs by customer type'!K36</f>
        <v>0</v>
      </c>
      <c r="L31" s="125">
        <f>'Inputs by customer type'!L36</f>
        <v>0</v>
      </c>
      <c r="M31" s="125">
        <f>'Inputs by customer type'!M36</f>
        <v>0</v>
      </c>
      <c r="N31" s="125">
        <f>'Inputs by customer type'!N36</f>
        <v>1072.5010465766684</v>
      </c>
      <c r="O31" s="125">
        <f>'Inputs by customer type'!O36</f>
        <v>0</v>
      </c>
      <c r="P31" s="125">
        <f>'Inputs by customer type'!P36</f>
        <v>0</v>
      </c>
      <c r="Q31" s="125">
        <f>'Inputs by customer type'!Q36</f>
        <v>0</v>
      </c>
      <c r="R31" s="125">
        <f>'Inputs by customer type'!R36</f>
        <v>0</v>
      </c>
      <c r="S31" s="125">
        <f>'Inputs by customer type'!S36</f>
        <v>0</v>
      </c>
      <c r="T31" s="125">
        <f>'Inputs by customer type'!T36</f>
        <v>0</v>
      </c>
      <c r="U31" s="125">
        <f>'Inputs by customer type'!U36</f>
        <v>0</v>
      </c>
      <c r="V31" s="125">
        <f>'Inputs by customer type'!V36</f>
        <v>0</v>
      </c>
      <c r="W31" s="125">
        <f>'Inputs by customer type'!W36</f>
        <v>0</v>
      </c>
      <c r="X31" s="125">
        <f>'Inputs by customer type'!X36</f>
        <v>0</v>
      </c>
      <c r="Y31" s="125">
        <f>'Inputs by customer type'!Y36</f>
        <v>0</v>
      </c>
    </row>
    <row r="32" spans="5:27" s="261" customFormat="1" x14ac:dyDescent="0.25">
      <c r="E32" s="265"/>
      <c r="F32" s="239"/>
      <c r="G32" s="239"/>
      <c r="J32" s="266"/>
      <c r="K32" s="266"/>
      <c r="L32" s="266"/>
      <c r="M32" s="266"/>
      <c r="N32" s="266"/>
      <c r="O32" s="266"/>
      <c r="P32" s="266"/>
      <c r="Q32" s="266"/>
      <c r="R32" s="266"/>
      <c r="S32" s="266"/>
      <c r="T32" s="266"/>
      <c r="U32" s="266"/>
      <c r="V32" s="266"/>
      <c r="W32" s="266"/>
      <c r="X32" s="266"/>
      <c r="Y32" s="266"/>
    </row>
    <row r="33" spans="3:27" x14ac:dyDescent="0.25">
      <c r="E33" s="32" t="s">
        <v>256</v>
      </c>
      <c r="F33" s="80"/>
      <c r="G33" s="80"/>
      <c r="H33" s="37"/>
      <c r="I33" t="s">
        <v>154</v>
      </c>
      <c r="J33" s="82"/>
      <c r="K33" s="82"/>
      <c r="L33" s="82"/>
      <c r="M33" s="82"/>
      <c r="N33" s="82"/>
      <c r="O33" s="82"/>
      <c r="P33" s="82"/>
      <c r="Q33" s="82"/>
      <c r="R33" s="82"/>
      <c r="S33" s="82"/>
      <c r="T33" s="82"/>
      <c r="U33" s="82"/>
      <c r="V33" s="82"/>
      <c r="W33" s="82"/>
      <c r="X33" s="82"/>
      <c r="Y33" s="82"/>
      <c r="AA33" t="s">
        <v>246</v>
      </c>
    </row>
    <row r="34" spans="3:27" x14ac:dyDescent="0.25">
      <c r="E34" s="28"/>
      <c r="F34" s="72" t="s">
        <v>247</v>
      </c>
      <c r="G34" s="72" t="s">
        <v>207</v>
      </c>
      <c r="I34" s="23"/>
      <c r="J34" s="124">
        <f>'Inputs by customer type'!J39</f>
        <v>28310.869161032697</v>
      </c>
      <c r="K34" s="124">
        <f>'Inputs by customer type'!K39</f>
        <v>0</v>
      </c>
      <c r="L34" s="124">
        <f>'Inputs by customer type'!L39</f>
        <v>2258.5058910279295</v>
      </c>
      <c r="M34" s="124">
        <f>'Inputs by customer type'!M39</f>
        <v>0</v>
      </c>
      <c r="N34" s="124">
        <f>'Inputs by customer type'!N39</f>
        <v>16531.881809701546</v>
      </c>
      <c r="O34" s="124">
        <f>'Inputs by customer type'!O39</f>
        <v>2297.3800444570861</v>
      </c>
      <c r="P34" s="124">
        <f>'Inputs by customer type'!P39</f>
        <v>9826.1069846885148</v>
      </c>
      <c r="Q34" s="124">
        <f>'Inputs by customer type'!Q39</f>
        <v>20.126192139443688</v>
      </c>
      <c r="R34" s="124">
        <f>'Inputs by customer type'!R39</f>
        <v>0</v>
      </c>
      <c r="S34" s="124">
        <f>'Inputs by customer type'!S39</f>
        <v>0</v>
      </c>
      <c r="T34" s="124">
        <f>'Inputs by customer type'!T39</f>
        <v>7.1280936788464269</v>
      </c>
      <c r="U34" s="124">
        <f>'Inputs by customer type'!U39</f>
        <v>0</v>
      </c>
      <c r="V34" s="124">
        <f>'Inputs by customer type'!V39</f>
        <v>0</v>
      </c>
      <c r="W34" s="124">
        <f>'Inputs by customer type'!W39</f>
        <v>0</v>
      </c>
      <c r="X34" s="124">
        <f>'Inputs by customer type'!X39</f>
        <v>0</v>
      </c>
      <c r="Y34" s="124">
        <f>'Inputs by customer type'!Y39</f>
        <v>0</v>
      </c>
    </row>
    <row r="35" spans="3:27" x14ac:dyDescent="0.25">
      <c r="E35" s="28"/>
      <c r="F35" s="72" t="s">
        <v>248</v>
      </c>
      <c r="G35" s="72" t="s">
        <v>207</v>
      </c>
      <c r="J35" s="120">
        <f>'Inputs by customer type'!J40</f>
        <v>81187.993114057608</v>
      </c>
      <c r="K35" s="120">
        <f>'Inputs by customer type'!K40</f>
        <v>0</v>
      </c>
      <c r="L35" s="120">
        <f>'Inputs by customer type'!L40</f>
        <v>9690.745452329018</v>
      </c>
      <c r="M35" s="120">
        <f>'Inputs by customer type'!M40</f>
        <v>0</v>
      </c>
      <c r="N35" s="120">
        <f>'Inputs by customer type'!N40</f>
        <v>61315.145684501505</v>
      </c>
      <c r="O35" s="120">
        <f>'Inputs by customer type'!O40</f>
        <v>8846.7091653079915</v>
      </c>
      <c r="P35" s="120">
        <f>'Inputs by customer type'!P40</f>
        <v>34457.350474989951</v>
      </c>
      <c r="Q35" s="120">
        <f>'Inputs by customer type'!Q40</f>
        <v>268.42349066049343</v>
      </c>
      <c r="R35" s="120">
        <f>'Inputs by customer type'!R40</f>
        <v>0</v>
      </c>
      <c r="S35" s="120">
        <f>'Inputs by customer type'!S40</f>
        <v>0</v>
      </c>
      <c r="T35" s="120">
        <f>'Inputs by customer type'!T40</f>
        <v>38.840689837672869</v>
      </c>
      <c r="U35" s="120">
        <f>'Inputs by customer type'!U40</f>
        <v>0</v>
      </c>
      <c r="V35" s="120">
        <f>'Inputs by customer type'!V40</f>
        <v>0</v>
      </c>
      <c r="W35" s="120">
        <f>'Inputs by customer type'!W40</f>
        <v>0</v>
      </c>
      <c r="X35" s="120">
        <f>'Inputs by customer type'!X40</f>
        <v>0</v>
      </c>
      <c r="Y35" s="120">
        <f>'Inputs by customer type'!Y40</f>
        <v>0</v>
      </c>
    </row>
    <row r="36" spans="3:27" x14ac:dyDescent="0.25">
      <c r="E36" s="28"/>
      <c r="F36" s="72" t="s">
        <v>249</v>
      </c>
      <c r="G36" s="72" t="s">
        <v>207</v>
      </c>
      <c r="J36" s="120">
        <f>'Inputs by customer type'!J41</f>
        <v>122440.09556967219</v>
      </c>
      <c r="K36" s="120">
        <f>'Inputs by customer type'!K41</f>
        <v>0</v>
      </c>
      <c r="L36" s="120">
        <f>'Inputs by customer type'!L41</f>
        <v>8744.0157201230868</v>
      </c>
      <c r="M36" s="120">
        <f>'Inputs by customer type'!M41</f>
        <v>0</v>
      </c>
      <c r="N36" s="120">
        <f>'Inputs by customer type'!N41</f>
        <v>76148.11170906917</v>
      </c>
      <c r="O36" s="120">
        <f>'Inputs by customer type'!O41</f>
        <v>12956.12974957714</v>
      </c>
      <c r="P36" s="120">
        <f>'Inputs by customer type'!P41</f>
        <v>53818.464042834421</v>
      </c>
      <c r="Q36" s="120">
        <f>'Inputs by customer type'!Q41</f>
        <v>487.81459259489043</v>
      </c>
      <c r="R36" s="120">
        <f>'Inputs by customer type'!R41</f>
        <v>0</v>
      </c>
      <c r="S36" s="120">
        <f>'Inputs by customer type'!S41</f>
        <v>0</v>
      </c>
      <c r="T36" s="120">
        <f>'Inputs by customer type'!T41</f>
        <v>73.659415726650337</v>
      </c>
      <c r="U36" s="120">
        <f>'Inputs by customer type'!U41</f>
        <v>0</v>
      </c>
      <c r="V36" s="120">
        <f>'Inputs by customer type'!V41</f>
        <v>0</v>
      </c>
      <c r="W36" s="120">
        <f>'Inputs by customer type'!W41</f>
        <v>0</v>
      </c>
      <c r="X36" s="120">
        <f>'Inputs by customer type'!X41</f>
        <v>0</v>
      </c>
      <c r="Y36" s="120">
        <f>'Inputs by customer type'!Y41</f>
        <v>0</v>
      </c>
    </row>
    <row r="37" spans="3:27" x14ac:dyDescent="0.25">
      <c r="E37" s="28"/>
      <c r="F37" s="72" t="s">
        <v>212</v>
      </c>
      <c r="G37" s="72" t="s">
        <v>212</v>
      </c>
      <c r="J37" s="120">
        <f>'Inputs by customer type'!J42</f>
        <v>84612.642341332583</v>
      </c>
      <c r="K37" s="120">
        <f>'Inputs by customer type'!K42</f>
        <v>0</v>
      </c>
      <c r="L37" s="120">
        <f>'Inputs by customer type'!L42</f>
        <v>2007.1508087950704</v>
      </c>
      <c r="M37" s="120">
        <f>'Inputs by customer type'!M42</f>
        <v>0</v>
      </c>
      <c r="N37" s="120">
        <f>'Inputs by customer type'!N42</f>
        <v>465.73936485136232</v>
      </c>
      <c r="O37" s="120">
        <f>'Inputs by customer type'!O42</f>
        <v>26.84503596609763</v>
      </c>
      <c r="P37" s="120">
        <f>'Inputs by customer type'!P42</f>
        <v>45.30709916235724</v>
      </c>
      <c r="Q37" s="120">
        <f>'Inputs by customer type'!Q42</f>
        <v>0</v>
      </c>
      <c r="R37" s="120">
        <f>'Inputs by customer type'!R42</f>
        <v>0</v>
      </c>
      <c r="S37" s="120">
        <f>'Inputs by customer type'!S42</f>
        <v>0</v>
      </c>
      <c r="T37" s="120">
        <f>'Inputs by customer type'!T42</f>
        <v>6.4768152573212072</v>
      </c>
      <c r="U37" s="120">
        <f>'Inputs by customer type'!U42</f>
        <v>0</v>
      </c>
      <c r="V37" s="120">
        <f>'Inputs by customer type'!V42</f>
        <v>0</v>
      </c>
      <c r="W37" s="120">
        <f>'Inputs by customer type'!W42</f>
        <v>0</v>
      </c>
      <c r="X37" s="120">
        <f>'Inputs by customer type'!X42</f>
        <v>0</v>
      </c>
      <c r="Y37" s="120">
        <f>'Inputs by customer type'!Y42</f>
        <v>0</v>
      </c>
    </row>
    <row r="38" spans="3:27" x14ac:dyDescent="0.25">
      <c r="E38" s="28"/>
      <c r="F38" s="72" t="s">
        <v>250</v>
      </c>
      <c r="G38" s="72" t="s">
        <v>251</v>
      </c>
      <c r="J38" s="120">
        <f>'Inputs by customer type'!J43</f>
        <v>0</v>
      </c>
      <c r="K38" s="120">
        <f>'Inputs by customer type'!K43</f>
        <v>0</v>
      </c>
      <c r="L38" s="120">
        <f>'Inputs by customer type'!L43</f>
        <v>0</v>
      </c>
      <c r="M38" s="120">
        <f>'Inputs by customer type'!M43</f>
        <v>0</v>
      </c>
      <c r="N38" s="120">
        <f>'Inputs by customer type'!N43</f>
        <v>127077.87784359198</v>
      </c>
      <c r="O38" s="120">
        <f>'Inputs by customer type'!O43</f>
        <v>18844.380594708073</v>
      </c>
      <c r="P38" s="120">
        <f>'Inputs by customer type'!P43</f>
        <v>68248.276149509649</v>
      </c>
      <c r="Q38" s="120">
        <f>'Inputs by customer type'!Q43</f>
        <v>0</v>
      </c>
      <c r="R38" s="120">
        <f>'Inputs by customer type'!R43</f>
        <v>0</v>
      </c>
      <c r="S38" s="120">
        <f>'Inputs by customer type'!S43</f>
        <v>0</v>
      </c>
      <c r="T38" s="120">
        <f>'Inputs by customer type'!T43</f>
        <v>0</v>
      </c>
      <c r="U38" s="120">
        <f>'Inputs by customer type'!U43</f>
        <v>0</v>
      </c>
      <c r="V38" s="120">
        <f>'Inputs by customer type'!V43</f>
        <v>0</v>
      </c>
      <c r="W38" s="120">
        <f>'Inputs by customer type'!W43</f>
        <v>0</v>
      </c>
      <c r="X38" s="120">
        <f>'Inputs by customer type'!X43</f>
        <v>0</v>
      </c>
      <c r="Y38" s="120">
        <f>'Inputs by customer type'!Y43</f>
        <v>0</v>
      </c>
    </row>
    <row r="39" spans="3:27" x14ac:dyDescent="0.25">
      <c r="E39" s="28"/>
      <c r="F39" s="72" t="s">
        <v>252</v>
      </c>
      <c r="G39" s="72" t="s">
        <v>251</v>
      </c>
      <c r="J39" s="120">
        <f>'Inputs by customer type'!J44</f>
        <v>0</v>
      </c>
      <c r="K39" s="120">
        <f>'Inputs by customer type'!K44</f>
        <v>0</v>
      </c>
      <c r="L39" s="120">
        <f>'Inputs by customer type'!L44</f>
        <v>0</v>
      </c>
      <c r="M39" s="120">
        <f>'Inputs by customer type'!M44</f>
        <v>0</v>
      </c>
      <c r="N39" s="120">
        <f>'Inputs by customer type'!N44</f>
        <v>395.82350265804985</v>
      </c>
      <c r="O39" s="120">
        <f>'Inputs by customer type'!O44</f>
        <v>81.929499611647657</v>
      </c>
      <c r="P39" s="120">
        <f>'Inputs by customer type'!P44</f>
        <v>45.714720712049029</v>
      </c>
      <c r="Q39" s="120">
        <f>'Inputs by customer type'!Q44</f>
        <v>0</v>
      </c>
      <c r="R39" s="120">
        <f>'Inputs by customer type'!R44</f>
        <v>0</v>
      </c>
      <c r="S39" s="120">
        <f>'Inputs by customer type'!S44</f>
        <v>0</v>
      </c>
      <c r="T39" s="120">
        <f>'Inputs by customer type'!T44</f>
        <v>0</v>
      </c>
      <c r="U39" s="120">
        <f>'Inputs by customer type'!U44</f>
        <v>0</v>
      </c>
      <c r="V39" s="120">
        <f>'Inputs by customer type'!V44</f>
        <v>0</v>
      </c>
      <c r="W39" s="120">
        <f>'Inputs by customer type'!W44</f>
        <v>0</v>
      </c>
      <c r="X39" s="120">
        <f>'Inputs by customer type'!X44</f>
        <v>0</v>
      </c>
      <c r="Y39" s="120">
        <f>'Inputs by customer type'!Y44</f>
        <v>0</v>
      </c>
    </row>
    <row r="40" spans="3:27" x14ac:dyDescent="0.25">
      <c r="E40" s="28"/>
      <c r="F40" s="80" t="s">
        <v>253</v>
      </c>
      <c r="G40" s="80" t="s">
        <v>254</v>
      </c>
      <c r="H40" s="37"/>
      <c r="I40" s="37"/>
      <c r="J40" s="125">
        <f>'Inputs by customer type'!J45</f>
        <v>0</v>
      </c>
      <c r="K40" s="125">
        <f>'Inputs by customer type'!K45</f>
        <v>0</v>
      </c>
      <c r="L40" s="125">
        <f>'Inputs by customer type'!L45</f>
        <v>0</v>
      </c>
      <c r="M40" s="125">
        <f>'Inputs by customer type'!M45</f>
        <v>0</v>
      </c>
      <c r="N40" s="125">
        <f>'Inputs by customer type'!N45</f>
        <v>10517.879564364226</v>
      </c>
      <c r="O40" s="125">
        <f>'Inputs by customer type'!O45</f>
        <v>1752.5315182075358</v>
      </c>
      <c r="P40" s="125">
        <f>'Inputs by customer type'!P45</f>
        <v>2835.3537401066042</v>
      </c>
      <c r="Q40" s="125">
        <f>'Inputs by customer type'!Q45</f>
        <v>0</v>
      </c>
      <c r="R40" s="125">
        <f>'Inputs by customer type'!R45</f>
        <v>0</v>
      </c>
      <c r="S40" s="125">
        <f>'Inputs by customer type'!S45</f>
        <v>0</v>
      </c>
      <c r="T40" s="125">
        <f>'Inputs by customer type'!T45</f>
        <v>52.882358013030462</v>
      </c>
      <c r="U40" s="125">
        <f>'Inputs by customer type'!U45</f>
        <v>0</v>
      </c>
      <c r="V40" s="125">
        <f>'Inputs by customer type'!V45</f>
        <v>0</v>
      </c>
      <c r="W40" s="125">
        <f>'Inputs by customer type'!W45</f>
        <v>0</v>
      </c>
      <c r="X40" s="125">
        <f>'Inputs by customer type'!X45</f>
        <v>0</v>
      </c>
      <c r="Y40" s="125">
        <f>'Inputs by customer type'!Y45</f>
        <v>0</v>
      </c>
    </row>
    <row r="41" spans="3:27" x14ac:dyDescent="0.25">
      <c r="E41" s="28"/>
      <c r="G41" s="13"/>
      <c r="J41" s="89"/>
      <c r="K41" s="89"/>
      <c r="L41" s="89"/>
      <c r="M41" s="89"/>
      <c r="N41" s="89"/>
      <c r="O41" s="89"/>
      <c r="P41" s="89"/>
      <c r="Q41" s="89"/>
      <c r="R41" s="89"/>
      <c r="S41" s="89"/>
      <c r="T41" s="89"/>
      <c r="U41" s="89"/>
      <c r="V41" s="89"/>
      <c r="W41" s="89"/>
      <c r="X41" s="89"/>
      <c r="Y41" s="89"/>
    </row>
    <row r="42" spans="3:27" x14ac:dyDescent="0.25">
      <c r="C42" s="31" t="str">
        <f ca="1">INDEX('Version control'!$H$34:$H$57,MATCH($A$1,'Version control'!$F$34:$F$57,0),1)&amp;"-B: Tariff forecast"</f>
        <v>Section 118-B: Tariff forecast</v>
      </c>
      <c r="D42" s="31"/>
      <c r="E42" s="31"/>
      <c r="F42" s="31"/>
      <c r="G42" s="31"/>
      <c r="H42" s="31"/>
      <c r="I42" s="31"/>
      <c r="J42" s="90"/>
      <c r="K42" s="90"/>
      <c r="L42" s="90"/>
      <c r="M42" s="90"/>
      <c r="N42" s="90"/>
      <c r="O42" s="90"/>
      <c r="P42" s="90"/>
      <c r="Q42" s="90"/>
      <c r="R42" s="90"/>
      <c r="S42" s="90"/>
      <c r="T42" s="90"/>
      <c r="U42" s="90"/>
      <c r="V42" s="90"/>
      <c r="W42" s="90"/>
      <c r="X42" s="90"/>
      <c r="Y42" s="90"/>
      <c r="Z42" s="31"/>
      <c r="AA42" s="31"/>
    </row>
    <row r="43" spans="3:27" x14ac:dyDescent="0.25">
      <c r="D43" s="32"/>
      <c r="E43" s="28"/>
      <c r="G43" s="13"/>
      <c r="J43" s="89"/>
      <c r="K43" s="89"/>
      <c r="L43" s="89"/>
      <c r="M43" s="89"/>
      <c r="N43" s="89"/>
      <c r="O43" s="89"/>
      <c r="P43" s="89"/>
      <c r="Q43" s="89"/>
      <c r="R43" s="89"/>
      <c r="S43" s="89"/>
      <c r="T43" s="89"/>
      <c r="U43" s="89"/>
      <c r="V43" s="89"/>
      <c r="W43" s="89"/>
      <c r="X43" s="89"/>
      <c r="Y43" s="89"/>
    </row>
    <row r="44" spans="3:27" x14ac:dyDescent="0.25">
      <c r="E44" s="32" t="s">
        <v>870</v>
      </c>
      <c r="G44" s="13"/>
      <c r="I44" t="s">
        <v>154</v>
      </c>
      <c r="J44" s="89"/>
      <c r="K44" s="89"/>
      <c r="L44" s="89"/>
      <c r="M44" s="89"/>
      <c r="N44" s="89"/>
      <c r="O44" s="89"/>
      <c r="P44" s="89"/>
      <c r="Q44" s="89"/>
      <c r="R44" s="89"/>
      <c r="S44" s="89"/>
      <c r="T44" s="89"/>
      <c r="U44" s="89"/>
      <c r="V44" s="89"/>
      <c r="W44" s="89"/>
      <c r="X44" s="89"/>
      <c r="Y44" s="89"/>
      <c r="AA44" t="s">
        <v>155</v>
      </c>
    </row>
    <row r="45" spans="3:27" x14ac:dyDescent="0.25">
      <c r="F45" s="23" t="s">
        <v>156</v>
      </c>
      <c r="G45" s="85" t="s">
        <v>269</v>
      </c>
      <c r="H45" s="283"/>
      <c r="I45" s="267"/>
      <c r="J45" s="283">
        <f>Rounding!J130</f>
        <v>8.7430000000000003</v>
      </c>
      <c r="K45" s="283">
        <f>Rounding!K130</f>
        <v>8.7430000000000003</v>
      </c>
      <c r="L45" s="283">
        <f>Rounding!L130</f>
        <v>7.69</v>
      </c>
      <c r="M45" s="283">
        <f>Rounding!M130</f>
        <v>7.69</v>
      </c>
      <c r="N45" s="283">
        <f>Rounding!N130</f>
        <v>5.8019999999999996</v>
      </c>
      <c r="O45" s="283">
        <f>Rounding!O130</f>
        <v>4.1840000000000002</v>
      </c>
      <c r="P45" s="283">
        <f>Rounding!P130</f>
        <v>2.903</v>
      </c>
      <c r="Q45" s="283">
        <f>Rounding!Q130</f>
        <v>21.762</v>
      </c>
      <c r="R45" s="283">
        <f>Rounding!R130</f>
        <v>-4.7519999999999998</v>
      </c>
      <c r="S45" s="283">
        <f>Rounding!S130</f>
        <v>-4.1689999999999996</v>
      </c>
      <c r="T45" s="283">
        <f>Rounding!T130</f>
        <v>-4.7519999999999998</v>
      </c>
      <c r="U45" s="283">
        <f>Rounding!U130</f>
        <v>-4.7519999999999998</v>
      </c>
      <c r="V45" s="283">
        <f>Rounding!V130</f>
        <v>-4.1689999999999996</v>
      </c>
      <c r="W45" s="283">
        <f>Rounding!W130</f>
        <v>-4.1689999999999996</v>
      </c>
      <c r="X45" s="283">
        <f>Rounding!X130</f>
        <v>-2.726</v>
      </c>
      <c r="Y45" s="283">
        <f>Rounding!Y130</f>
        <v>-2.726</v>
      </c>
      <c r="Z45" s="269"/>
      <c r="AA45" s="269"/>
    </row>
    <row r="46" spans="3:27" x14ac:dyDescent="0.25">
      <c r="E46" s="28"/>
      <c r="F46" t="s">
        <v>157</v>
      </c>
      <c r="G46" s="13" t="s">
        <v>269</v>
      </c>
      <c r="H46" s="284"/>
      <c r="I46" s="269"/>
      <c r="J46" s="284">
        <f>Rounding!J131</f>
        <v>1.8680000000000001</v>
      </c>
      <c r="K46" s="284">
        <f>Rounding!K131</f>
        <v>1.8680000000000001</v>
      </c>
      <c r="L46" s="284">
        <f>Rounding!L131</f>
        <v>1.7350000000000001</v>
      </c>
      <c r="M46" s="284">
        <f>Rounding!M131</f>
        <v>1.7350000000000001</v>
      </c>
      <c r="N46" s="284">
        <f>Rounding!N131</f>
        <v>1.4730000000000001</v>
      </c>
      <c r="O46" s="284">
        <f>Rounding!O131</f>
        <v>1.242</v>
      </c>
      <c r="P46" s="284">
        <f>Rounding!P131</f>
        <v>1.0649999999999999</v>
      </c>
      <c r="Q46" s="284">
        <f>Rounding!Q131</f>
        <v>2.4870000000000001</v>
      </c>
      <c r="R46" s="284">
        <f>Rounding!R131</f>
        <v>-0.60099999999999998</v>
      </c>
      <c r="S46" s="284">
        <f>Rounding!S131</f>
        <v>-0.51500000000000001</v>
      </c>
      <c r="T46" s="284">
        <f>Rounding!T131</f>
        <v>-0.60099999999999998</v>
      </c>
      <c r="U46" s="284">
        <f>Rounding!U131</f>
        <v>-0.60099999999999998</v>
      </c>
      <c r="V46" s="284">
        <f>Rounding!V131</f>
        <v>-0.51500000000000001</v>
      </c>
      <c r="W46" s="284">
        <f>Rounding!W131</f>
        <v>-0.51500000000000001</v>
      </c>
      <c r="X46" s="284">
        <f>Rounding!X131</f>
        <v>-0.29599999999999999</v>
      </c>
      <c r="Y46" s="284">
        <f>Rounding!Y131</f>
        <v>-0.29599999999999999</v>
      </c>
      <c r="Z46" s="269"/>
      <c r="AA46" s="269"/>
    </row>
    <row r="47" spans="3:27" x14ac:dyDescent="0.25">
      <c r="E47" s="28"/>
      <c r="F47" t="s">
        <v>158</v>
      </c>
      <c r="G47" s="13" t="s">
        <v>269</v>
      </c>
      <c r="H47" s="284"/>
      <c r="I47" s="269"/>
      <c r="J47" s="284">
        <f>Rounding!J132</f>
        <v>0.93500000000000005</v>
      </c>
      <c r="K47" s="284">
        <f>Rounding!K132</f>
        <v>0.93500000000000005</v>
      </c>
      <c r="L47" s="284">
        <f>Rounding!L132</f>
        <v>0.92700000000000005</v>
      </c>
      <c r="M47" s="284">
        <f>Rounding!M132</f>
        <v>0.92700000000000005</v>
      </c>
      <c r="N47" s="284">
        <f>Rounding!N132</f>
        <v>0.91</v>
      </c>
      <c r="O47" s="284">
        <f>Rounding!O132</f>
        <v>0.89400000000000002</v>
      </c>
      <c r="P47" s="284">
        <f>Rounding!P132</f>
        <v>0.88300000000000001</v>
      </c>
      <c r="Q47" s="284">
        <f>Rounding!Q132</f>
        <v>1.72</v>
      </c>
      <c r="R47" s="284">
        <f>Rounding!R132</f>
        <v>-3.6999999999999998E-2</v>
      </c>
      <c r="S47" s="284">
        <f>Rounding!S132</f>
        <v>-3.1E-2</v>
      </c>
      <c r="T47" s="284">
        <f>Rounding!T132</f>
        <v>-3.6999999999999998E-2</v>
      </c>
      <c r="U47" s="284">
        <f>Rounding!U132</f>
        <v>-3.6999999999999998E-2</v>
      </c>
      <c r="V47" s="284">
        <f>Rounding!V132</f>
        <v>-3.1E-2</v>
      </c>
      <c r="W47" s="284">
        <f>Rounding!W132</f>
        <v>-3.1E-2</v>
      </c>
      <c r="X47" s="284">
        <f>Rounding!X132</f>
        <v>-1.6E-2</v>
      </c>
      <c r="Y47" s="284">
        <f>Rounding!Y132</f>
        <v>-1.6E-2</v>
      </c>
      <c r="Z47" s="269"/>
      <c r="AA47" s="269"/>
    </row>
    <row r="48" spans="3:27" x14ac:dyDescent="0.25">
      <c r="E48" s="28"/>
      <c r="F48" t="s">
        <v>159</v>
      </c>
      <c r="G48" s="13" t="s">
        <v>270</v>
      </c>
      <c r="H48" s="51"/>
      <c r="J48" s="120">
        <f>Rounding!J133</f>
        <v>3.74</v>
      </c>
      <c r="K48" s="120">
        <f>Rounding!K133</f>
        <v>0</v>
      </c>
      <c r="L48" s="120">
        <f>Rounding!L133</f>
        <v>7.44</v>
      </c>
      <c r="M48" s="120">
        <f>Rounding!M133</f>
        <v>0</v>
      </c>
      <c r="N48" s="120">
        <f>Rounding!N133</f>
        <v>11.37</v>
      </c>
      <c r="O48" s="120">
        <f>Rounding!O133</f>
        <v>8.91</v>
      </c>
      <c r="P48" s="120">
        <f>Rounding!P133</f>
        <v>80.94</v>
      </c>
      <c r="Q48" s="120">
        <f>Rounding!Q133</f>
        <v>0</v>
      </c>
      <c r="R48" s="120">
        <f>Rounding!R133</f>
        <v>0</v>
      </c>
      <c r="S48" s="120">
        <f>Rounding!S133</f>
        <v>0</v>
      </c>
      <c r="T48" s="120">
        <f>Rounding!T133</f>
        <v>0</v>
      </c>
      <c r="U48" s="120">
        <f>Rounding!U133</f>
        <v>0</v>
      </c>
      <c r="V48" s="120">
        <f>Rounding!V133</f>
        <v>0</v>
      </c>
      <c r="W48" s="120">
        <f>Rounding!W133</f>
        <v>0</v>
      </c>
      <c r="X48" s="120">
        <f>Rounding!X133</f>
        <v>50.55</v>
      </c>
      <c r="Y48" s="120">
        <f>Rounding!Y133</f>
        <v>50.55</v>
      </c>
    </row>
    <row r="49" spans="3:27" x14ac:dyDescent="0.25">
      <c r="E49" s="28"/>
      <c r="F49" t="s">
        <v>160</v>
      </c>
      <c r="G49" s="13" t="s">
        <v>271</v>
      </c>
      <c r="H49" s="51"/>
      <c r="J49" s="120">
        <f>Rounding!J134</f>
        <v>0</v>
      </c>
      <c r="K49" s="120">
        <f>Rounding!K134</f>
        <v>0</v>
      </c>
      <c r="L49" s="120">
        <f>Rounding!L134</f>
        <v>0</v>
      </c>
      <c r="M49" s="120">
        <f>Rounding!M134</f>
        <v>0</v>
      </c>
      <c r="N49" s="120">
        <f>Rounding!N134</f>
        <v>2.9</v>
      </c>
      <c r="O49" s="120">
        <f>Rounding!O134</f>
        <v>3.52</v>
      </c>
      <c r="P49" s="120">
        <f>Rounding!P134</f>
        <v>4.28</v>
      </c>
      <c r="Q49" s="120">
        <f>Rounding!Q134</f>
        <v>0</v>
      </c>
      <c r="R49" s="120">
        <f>Rounding!R134</f>
        <v>0</v>
      </c>
      <c r="S49" s="120">
        <f>Rounding!S134</f>
        <v>0</v>
      </c>
      <c r="T49" s="120">
        <f>Rounding!T134</f>
        <v>0</v>
      </c>
      <c r="U49" s="120">
        <f>Rounding!U134</f>
        <v>0</v>
      </c>
      <c r="V49" s="120">
        <f>Rounding!V134</f>
        <v>0</v>
      </c>
      <c r="W49" s="120">
        <f>Rounding!W134</f>
        <v>0</v>
      </c>
      <c r="X49" s="120">
        <f>Rounding!X134</f>
        <v>0</v>
      </c>
      <c r="Y49" s="120">
        <f>Rounding!Y134</f>
        <v>0</v>
      </c>
    </row>
    <row r="50" spans="3:27" x14ac:dyDescent="0.25">
      <c r="E50" s="28"/>
      <c r="F50" t="s">
        <v>161</v>
      </c>
      <c r="G50" s="13" t="s">
        <v>271</v>
      </c>
      <c r="H50" s="51"/>
      <c r="J50" s="120">
        <f>Rounding!J135</f>
        <v>0</v>
      </c>
      <c r="K50" s="120">
        <f>Rounding!K135</f>
        <v>0</v>
      </c>
      <c r="L50" s="120">
        <f>Rounding!L135</f>
        <v>0</v>
      </c>
      <c r="M50" s="120">
        <f>Rounding!M135</f>
        <v>0</v>
      </c>
      <c r="N50" s="120">
        <f>Rounding!N135</f>
        <v>5.75</v>
      </c>
      <c r="O50" s="120">
        <f>Rounding!O135</f>
        <v>5.31</v>
      </c>
      <c r="P50" s="120">
        <f>Rounding!P135</f>
        <v>6.18</v>
      </c>
      <c r="Q50" s="120">
        <f>Rounding!Q135</f>
        <v>0</v>
      </c>
      <c r="R50" s="120">
        <f>Rounding!R135</f>
        <v>0</v>
      </c>
      <c r="S50" s="120">
        <f>Rounding!S135</f>
        <v>0</v>
      </c>
      <c r="T50" s="120">
        <f>Rounding!T135</f>
        <v>0</v>
      </c>
      <c r="U50" s="120">
        <f>Rounding!U135</f>
        <v>0</v>
      </c>
      <c r="V50" s="120">
        <f>Rounding!V135</f>
        <v>0</v>
      </c>
      <c r="W50" s="120">
        <f>Rounding!W135</f>
        <v>0</v>
      </c>
      <c r="X50" s="120">
        <f>Rounding!X135</f>
        <v>0</v>
      </c>
      <c r="Y50" s="120">
        <f>Rounding!Y135</f>
        <v>0</v>
      </c>
    </row>
    <row r="51" spans="3:27" x14ac:dyDescent="0.25">
      <c r="E51" s="28"/>
      <c r="F51" s="37" t="s">
        <v>162</v>
      </c>
      <c r="G51" s="86" t="s">
        <v>272</v>
      </c>
      <c r="H51" s="288"/>
      <c r="I51" s="273"/>
      <c r="J51" s="288">
        <f>Rounding!J136</f>
        <v>0</v>
      </c>
      <c r="K51" s="288">
        <f>Rounding!K136</f>
        <v>0</v>
      </c>
      <c r="L51" s="288">
        <f>Rounding!L136</f>
        <v>0</v>
      </c>
      <c r="M51" s="288">
        <f>Rounding!M136</f>
        <v>0</v>
      </c>
      <c r="N51" s="288">
        <f>Rounding!N136</f>
        <v>0.157</v>
      </c>
      <c r="O51" s="288">
        <f>Rounding!O136</f>
        <v>0.111</v>
      </c>
      <c r="P51" s="288">
        <f>Rounding!P136</f>
        <v>5.7000000000000002E-2</v>
      </c>
      <c r="Q51" s="288">
        <f>Rounding!Q136</f>
        <v>0</v>
      </c>
      <c r="R51" s="288">
        <f>Rounding!R136</f>
        <v>0</v>
      </c>
      <c r="S51" s="288">
        <f>Rounding!S136</f>
        <v>0</v>
      </c>
      <c r="T51" s="288">
        <f>Rounding!T136</f>
        <v>0.156</v>
      </c>
      <c r="U51" s="288">
        <f>Rounding!U136</f>
        <v>0</v>
      </c>
      <c r="V51" s="288">
        <f>Rounding!V136</f>
        <v>0.13100000000000001</v>
      </c>
      <c r="W51" s="288">
        <f>Rounding!W136</f>
        <v>0</v>
      </c>
      <c r="X51" s="288">
        <f>Rounding!X136</f>
        <v>0.105</v>
      </c>
      <c r="Y51" s="288">
        <f>Rounding!Y136</f>
        <v>0</v>
      </c>
      <c r="Z51" s="269"/>
      <c r="AA51" s="269"/>
    </row>
    <row r="52" spans="3:27" x14ac:dyDescent="0.25">
      <c r="E52" s="28"/>
      <c r="G52" s="13"/>
      <c r="J52" s="89"/>
      <c r="K52" s="89"/>
      <c r="L52" s="89"/>
      <c r="M52" s="89"/>
      <c r="N52" s="89"/>
      <c r="O52" s="89"/>
      <c r="P52" s="89"/>
      <c r="Q52" s="89"/>
      <c r="R52" s="89"/>
      <c r="S52" s="89"/>
      <c r="T52" s="89"/>
      <c r="U52" s="89"/>
      <c r="V52" s="89"/>
      <c r="W52" s="89"/>
      <c r="X52" s="89"/>
      <c r="Y52" s="89"/>
    </row>
    <row r="53" spans="3:27" x14ac:dyDescent="0.25">
      <c r="E53" s="32" t="s">
        <v>871</v>
      </c>
      <c r="G53" s="13"/>
      <c r="I53" t="s">
        <v>154</v>
      </c>
      <c r="J53" s="82"/>
      <c r="K53" s="82"/>
      <c r="L53" s="82"/>
      <c r="M53" s="82"/>
      <c r="N53" s="82"/>
      <c r="O53" s="82"/>
      <c r="P53" s="82"/>
      <c r="Q53" s="82"/>
      <c r="R53" s="82"/>
      <c r="S53" s="82"/>
      <c r="T53" s="82"/>
      <c r="U53" s="82"/>
      <c r="V53" s="82"/>
      <c r="W53" s="82"/>
      <c r="X53" s="82"/>
      <c r="Y53" s="82"/>
      <c r="AA53" t="s">
        <v>155</v>
      </c>
    </row>
    <row r="54" spans="3:27" x14ac:dyDescent="0.25">
      <c r="F54" s="23" t="s">
        <v>156</v>
      </c>
      <c r="G54" s="85" t="s">
        <v>269</v>
      </c>
      <c r="H54" s="283"/>
      <c r="I54" s="267"/>
      <c r="J54" s="283">
        <f>Rounding!J139</f>
        <v>6.0750000000000002</v>
      </c>
      <c r="K54" s="283">
        <f>Rounding!K139</f>
        <v>6.0750000000000002</v>
      </c>
      <c r="L54" s="283">
        <f>Rounding!L139</f>
        <v>5.3440000000000003</v>
      </c>
      <c r="M54" s="283">
        <f>Rounding!M139</f>
        <v>5.3440000000000003</v>
      </c>
      <c r="N54" s="283">
        <f>Rounding!N139</f>
        <v>4.032</v>
      </c>
      <c r="O54" s="283">
        <f>Rounding!O139</f>
        <v>0</v>
      </c>
      <c r="P54" s="283">
        <f>Rounding!P139</f>
        <v>0</v>
      </c>
      <c r="Q54" s="283">
        <f>Rounding!Q139</f>
        <v>15.122999999999999</v>
      </c>
      <c r="R54" s="283">
        <f>Rounding!R139</f>
        <v>-4.7519999999999998</v>
      </c>
      <c r="S54" s="283">
        <f>Rounding!S139</f>
        <v>0</v>
      </c>
      <c r="T54" s="283">
        <f>Rounding!T139</f>
        <v>-4.7519999999999998</v>
      </c>
      <c r="U54" s="283">
        <f>Rounding!U139</f>
        <v>0</v>
      </c>
      <c r="V54" s="283">
        <f>Rounding!V139</f>
        <v>0</v>
      </c>
      <c r="W54" s="283">
        <f>Rounding!W139</f>
        <v>0</v>
      </c>
      <c r="X54" s="283">
        <f>Rounding!X139</f>
        <v>0</v>
      </c>
      <c r="Y54" s="283">
        <f>Rounding!Y139</f>
        <v>0</v>
      </c>
      <c r="Z54" s="269"/>
      <c r="AA54" s="269"/>
    </row>
    <row r="55" spans="3:27" x14ac:dyDescent="0.25">
      <c r="E55" s="28"/>
      <c r="F55" t="s">
        <v>157</v>
      </c>
      <c r="G55" s="13" t="s">
        <v>269</v>
      </c>
      <c r="H55" s="284"/>
      <c r="I55" s="269"/>
      <c r="J55" s="284">
        <f>Rounding!J140</f>
        <v>1.298</v>
      </c>
      <c r="K55" s="284">
        <f>Rounding!K140</f>
        <v>1.298</v>
      </c>
      <c r="L55" s="284">
        <f>Rounding!L140</f>
        <v>1.206</v>
      </c>
      <c r="M55" s="284">
        <f>Rounding!M140</f>
        <v>1.206</v>
      </c>
      <c r="N55" s="284">
        <f>Rounding!N140</f>
        <v>1.024</v>
      </c>
      <c r="O55" s="284">
        <f>Rounding!O140</f>
        <v>0</v>
      </c>
      <c r="P55" s="284">
        <f>Rounding!P140</f>
        <v>0</v>
      </c>
      <c r="Q55" s="284">
        <f>Rounding!Q140</f>
        <v>1.7290000000000001</v>
      </c>
      <c r="R55" s="284">
        <f>Rounding!R140</f>
        <v>-0.60099999999999998</v>
      </c>
      <c r="S55" s="284">
        <f>Rounding!S140</f>
        <v>0</v>
      </c>
      <c r="T55" s="284">
        <f>Rounding!T140</f>
        <v>-0.60099999999999998</v>
      </c>
      <c r="U55" s="284">
        <f>Rounding!U140</f>
        <v>0</v>
      </c>
      <c r="V55" s="284">
        <f>Rounding!V140</f>
        <v>0</v>
      </c>
      <c r="W55" s="284">
        <f>Rounding!W140</f>
        <v>0</v>
      </c>
      <c r="X55" s="284">
        <f>Rounding!X140</f>
        <v>0</v>
      </c>
      <c r="Y55" s="284">
        <f>Rounding!Y140</f>
        <v>0</v>
      </c>
      <c r="Z55" s="269"/>
      <c r="AA55" s="269"/>
    </row>
    <row r="56" spans="3:27" x14ac:dyDescent="0.25">
      <c r="E56" s="28"/>
      <c r="F56" t="s">
        <v>158</v>
      </c>
      <c r="G56" s="13" t="s">
        <v>269</v>
      </c>
      <c r="H56" s="284"/>
      <c r="I56" s="269"/>
      <c r="J56" s="284">
        <f>Rounding!J141</f>
        <v>0.65</v>
      </c>
      <c r="K56" s="284">
        <f>Rounding!K141</f>
        <v>0.65</v>
      </c>
      <c r="L56" s="284">
        <f>Rounding!L141</f>
        <v>0.64400000000000002</v>
      </c>
      <c r="M56" s="284">
        <f>Rounding!M141</f>
        <v>0.64400000000000002</v>
      </c>
      <c r="N56" s="284">
        <f>Rounding!N141</f>
        <v>0.63200000000000001</v>
      </c>
      <c r="O56" s="284">
        <f>Rounding!O141</f>
        <v>0</v>
      </c>
      <c r="P56" s="284">
        <f>Rounding!P141</f>
        <v>0</v>
      </c>
      <c r="Q56" s="284">
        <f>Rounding!Q141</f>
        <v>1.196</v>
      </c>
      <c r="R56" s="284">
        <f>Rounding!R141</f>
        <v>-3.6999999999999998E-2</v>
      </c>
      <c r="S56" s="284">
        <f>Rounding!S141</f>
        <v>0</v>
      </c>
      <c r="T56" s="284">
        <f>Rounding!T141</f>
        <v>-3.6999999999999998E-2</v>
      </c>
      <c r="U56" s="284">
        <f>Rounding!U141</f>
        <v>0</v>
      </c>
      <c r="V56" s="284">
        <f>Rounding!V141</f>
        <v>0</v>
      </c>
      <c r="W56" s="284">
        <f>Rounding!W141</f>
        <v>0</v>
      </c>
      <c r="X56" s="284">
        <f>Rounding!X141</f>
        <v>0</v>
      </c>
      <c r="Y56" s="284">
        <f>Rounding!Y141</f>
        <v>0</v>
      </c>
      <c r="Z56" s="269"/>
      <c r="AA56" s="269"/>
    </row>
    <row r="57" spans="3:27" x14ac:dyDescent="0.25">
      <c r="E57" s="28"/>
      <c r="F57" t="s">
        <v>159</v>
      </c>
      <c r="G57" s="13" t="s">
        <v>270</v>
      </c>
      <c r="H57" s="51"/>
      <c r="J57" s="120">
        <f>Rounding!J142</f>
        <v>2.65</v>
      </c>
      <c r="K57" s="120">
        <f>Rounding!K142</f>
        <v>0</v>
      </c>
      <c r="L57" s="120">
        <f>Rounding!L142</f>
        <v>5.22</v>
      </c>
      <c r="M57" s="120">
        <f>Rounding!M142</f>
        <v>0</v>
      </c>
      <c r="N57" s="120">
        <f>Rounding!N142</f>
        <v>7.95</v>
      </c>
      <c r="O57" s="120">
        <f>Rounding!O142</f>
        <v>0</v>
      </c>
      <c r="P57" s="120">
        <f>Rounding!P142</f>
        <v>0</v>
      </c>
      <c r="Q57" s="120">
        <f>Rounding!Q142</f>
        <v>0</v>
      </c>
      <c r="R57" s="120">
        <f>Rounding!R142</f>
        <v>0</v>
      </c>
      <c r="S57" s="120">
        <f>Rounding!S142</f>
        <v>0</v>
      </c>
      <c r="T57" s="120">
        <f>Rounding!T142</f>
        <v>0</v>
      </c>
      <c r="U57" s="120">
        <f>Rounding!U142</f>
        <v>0</v>
      </c>
      <c r="V57" s="120">
        <f>Rounding!V142</f>
        <v>0</v>
      </c>
      <c r="W57" s="120">
        <f>Rounding!W142</f>
        <v>0</v>
      </c>
      <c r="X57" s="120">
        <f>Rounding!X142</f>
        <v>0</v>
      </c>
      <c r="Y57" s="120">
        <f>Rounding!Y142</f>
        <v>0</v>
      </c>
    </row>
    <row r="58" spans="3:27" x14ac:dyDescent="0.25">
      <c r="E58" s="28"/>
      <c r="F58" t="s">
        <v>160</v>
      </c>
      <c r="G58" s="13" t="s">
        <v>271</v>
      </c>
      <c r="H58" s="51"/>
      <c r="J58" s="120">
        <f>Rounding!J143</f>
        <v>0</v>
      </c>
      <c r="K58" s="120">
        <f>Rounding!K143</f>
        <v>0</v>
      </c>
      <c r="L58" s="120">
        <f>Rounding!L143</f>
        <v>0</v>
      </c>
      <c r="M58" s="120">
        <f>Rounding!M143</f>
        <v>0</v>
      </c>
      <c r="N58" s="120">
        <f>Rounding!N143</f>
        <v>2.02</v>
      </c>
      <c r="O58" s="120">
        <f>Rounding!O143</f>
        <v>0</v>
      </c>
      <c r="P58" s="120">
        <f>Rounding!P143</f>
        <v>0</v>
      </c>
      <c r="Q58" s="120">
        <f>Rounding!Q143</f>
        <v>0</v>
      </c>
      <c r="R58" s="120">
        <f>Rounding!R143</f>
        <v>0</v>
      </c>
      <c r="S58" s="120">
        <f>Rounding!S143</f>
        <v>0</v>
      </c>
      <c r="T58" s="120">
        <f>Rounding!T143</f>
        <v>0</v>
      </c>
      <c r="U58" s="120">
        <f>Rounding!U143</f>
        <v>0</v>
      </c>
      <c r="V58" s="120">
        <f>Rounding!V143</f>
        <v>0</v>
      </c>
      <c r="W58" s="120">
        <f>Rounding!W143</f>
        <v>0</v>
      </c>
      <c r="X58" s="120">
        <f>Rounding!X143</f>
        <v>0</v>
      </c>
      <c r="Y58" s="120">
        <f>Rounding!Y143</f>
        <v>0</v>
      </c>
    </row>
    <row r="59" spans="3:27" x14ac:dyDescent="0.25">
      <c r="E59" s="28"/>
      <c r="F59" t="s">
        <v>161</v>
      </c>
      <c r="G59" s="13" t="s">
        <v>271</v>
      </c>
      <c r="H59" s="51"/>
      <c r="J59" s="120">
        <f>Rounding!J144</f>
        <v>0</v>
      </c>
      <c r="K59" s="120">
        <f>Rounding!K144</f>
        <v>0</v>
      </c>
      <c r="L59" s="120">
        <f>Rounding!L144</f>
        <v>0</v>
      </c>
      <c r="M59" s="120">
        <f>Rounding!M144</f>
        <v>0</v>
      </c>
      <c r="N59" s="120">
        <f>Rounding!N144</f>
        <v>4</v>
      </c>
      <c r="O59" s="120">
        <f>Rounding!O144</f>
        <v>0</v>
      </c>
      <c r="P59" s="120">
        <f>Rounding!P144</f>
        <v>0</v>
      </c>
      <c r="Q59" s="120">
        <f>Rounding!Q144</f>
        <v>0</v>
      </c>
      <c r="R59" s="120">
        <f>Rounding!R144</f>
        <v>0</v>
      </c>
      <c r="S59" s="120">
        <f>Rounding!S144</f>
        <v>0</v>
      </c>
      <c r="T59" s="120">
        <f>Rounding!T144</f>
        <v>0</v>
      </c>
      <c r="U59" s="120">
        <f>Rounding!U144</f>
        <v>0</v>
      </c>
      <c r="V59" s="120">
        <f>Rounding!V144</f>
        <v>0</v>
      </c>
      <c r="W59" s="120">
        <f>Rounding!W144</f>
        <v>0</v>
      </c>
      <c r="X59" s="120">
        <f>Rounding!X144</f>
        <v>0</v>
      </c>
      <c r="Y59" s="120">
        <f>Rounding!Y144</f>
        <v>0</v>
      </c>
    </row>
    <row r="60" spans="3:27" x14ac:dyDescent="0.25">
      <c r="E60" s="28"/>
      <c r="F60" s="37" t="s">
        <v>162</v>
      </c>
      <c r="G60" s="86" t="s">
        <v>272</v>
      </c>
      <c r="H60" s="288"/>
      <c r="I60" s="273"/>
      <c r="J60" s="288">
        <f>Rounding!J145</f>
        <v>0</v>
      </c>
      <c r="K60" s="288">
        <f>Rounding!K145</f>
        <v>0</v>
      </c>
      <c r="L60" s="288">
        <f>Rounding!L145</f>
        <v>0</v>
      </c>
      <c r="M60" s="288">
        <f>Rounding!M145</f>
        <v>0</v>
      </c>
      <c r="N60" s="288">
        <f>Rounding!N145</f>
        <v>0.109</v>
      </c>
      <c r="O60" s="288">
        <f>Rounding!O145</f>
        <v>0</v>
      </c>
      <c r="P60" s="288">
        <f>Rounding!P145</f>
        <v>0</v>
      </c>
      <c r="Q60" s="288">
        <f>Rounding!Q145</f>
        <v>0</v>
      </c>
      <c r="R60" s="288">
        <f>Rounding!R145</f>
        <v>0</v>
      </c>
      <c r="S60" s="288">
        <f>Rounding!S145</f>
        <v>0</v>
      </c>
      <c r="T60" s="288">
        <f>Rounding!T145</f>
        <v>0.156</v>
      </c>
      <c r="U60" s="288">
        <f>Rounding!U145</f>
        <v>0</v>
      </c>
      <c r="V60" s="288">
        <f>Rounding!V145</f>
        <v>0</v>
      </c>
      <c r="W60" s="288">
        <f>Rounding!W145</f>
        <v>0</v>
      </c>
      <c r="X60" s="288">
        <f>Rounding!X145</f>
        <v>0</v>
      </c>
      <c r="Y60" s="288">
        <f>Rounding!Y145</f>
        <v>0</v>
      </c>
      <c r="Z60" s="269"/>
      <c r="AA60" s="269"/>
    </row>
    <row r="61" spans="3:27" x14ac:dyDescent="0.25">
      <c r="E61" s="28"/>
      <c r="G61" s="13"/>
      <c r="J61" s="89"/>
      <c r="K61" s="89"/>
      <c r="L61" s="89"/>
      <c r="M61" s="89"/>
      <c r="N61" s="89"/>
      <c r="O61" s="89"/>
      <c r="P61" s="89"/>
      <c r="Q61" s="89"/>
      <c r="R61" s="89"/>
      <c r="S61" s="89"/>
      <c r="T61" s="89"/>
      <c r="U61" s="89"/>
      <c r="V61" s="89"/>
      <c r="W61" s="89"/>
      <c r="X61" s="89"/>
      <c r="Y61" s="89"/>
    </row>
    <row r="62" spans="3:27" x14ac:dyDescent="0.25">
      <c r="E62" s="32" t="s">
        <v>872</v>
      </c>
      <c r="G62" s="13"/>
      <c r="I62" t="s">
        <v>154</v>
      </c>
      <c r="J62" s="82"/>
      <c r="K62" s="82"/>
      <c r="L62" s="82"/>
      <c r="M62" s="82"/>
      <c r="N62" s="82"/>
      <c r="O62" s="82"/>
      <c r="P62" s="82"/>
      <c r="Q62" s="82"/>
      <c r="R62" s="82"/>
      <c r="S62" s="82"/>
      <c r="T62" s="82"/>
      <c r="U62" s="82"/>
      <c r="V62" s="82"/>
      <c r="W62" s="82"/>
      <c r="X62" s="82"/>
      <c r="Y62" s="82"/>
      <c r="AA62" t="s">
        <v>155</v>
      </c>
    </row>
    <row r="63" spans="3:27" x14ac:dyDescent="0.25">
      <c r="C63" s="88"/>
      <c r="F63" s="23" t="s">
        <v>156</v>
      </c>
      <c r="G63" s="85" t="s">
        <v>269</v>
      </c>
      <c r="H63" s="283"/>
      <c r="I63" s="267"/>
      <c r="J63" s="283">
        <f>Rounding!J148</f>
        <v>4.8280000000000003</v>
      </c>
      <c r="K63" s="283">
        <f>Rounding!K148</f>
        <v>4.8280000000000003</v>
      </c>
      <c r="L63" s="283">
        <f>Rounding!L148</f>
        <v>4.2460000000000004</v>
      </c>
      <c r="M63" s="283">
        <f>Rounding!M148</f>
        <v>4.2460000000000004</v>
      </c>
      <c r="N63" s="283">
        <f>Rounding!N148</f>
        <v>3.2040000000000002</v>
      </c>
      <c r="O63" s="283">
        <f>Rounding!O148</f>
        <v>3.3769999999999998</v>
      </c>
      <c r="P63" s="283">
        <f>Rounding!P148</f>
        <v>2.657</v>
      </c>
      <c r="Q63" s="283">
        <f>Rounding!Q148</f>
        <v>12.016999999999999</v>
      </c>
      <c r="R63" s="283">
        <f>Rounding!R148</f>
        <v>-4.7519999999999998</v>
      </c>
      <c r="S63" s="283">
        <f>Rounding!S148</f>
        <v>-4.1689999999999996</v>
      </c>
      <c r="T63" s="283">
        <f>Rounding!T148</f>
        <v>-4.7519999999999998</v>
      </c>
      <c r="U63" s="283">
        <f>Rounding!U148</f>
        <v>0</v>
      </c>
      <c r="V63" s="283">
        <f>Rounding!V148</f>
        <v>-4.1689999999999996</v>
      </c>
      <c r="W63" s="283">
        <f>Rounding!W148</f>
        <v>0</v>
      </c>
      <c r="X63" s="283">
        <f>Rounding!X148</f>
        <v>-2.726</v>
      </c>
      <c r="Y63" s="283">
        <f>Rounding!Y148</f>
        <v>0</v>
      </c>
      <c r="Z63" s="269"/>
      <c r="AA63" s="269"/>
    </row>
    <row r="64" spans="3:27" x14ac:dyDescent="0.25">
      <c r="C64" s="88"/>
      <c r="F64" t="s">
        <v>157</v>
      </c>
      <c r="G64" s="13" t="s">
        <v>269</v>
      </c>
      <c r="H64" s="284"/>
      <c r="I64" s="269"/>
      <c r="J64" s="284">
        <f>Rounding!J149</f>
        <v>1.032</v>
      </c>
      <c r="K64" s="284">
        <f>Rounding!K149</f>
        <v>1.032</v>
      </c>
      <c r="L64" s="284">
        <f>Rounding!L149</f>
        <v>0.95799999999999996</v>
      </c>
      <c r="M64" s="284">
        <f>Rounding!M149</f>
        <v>0.95799999999999996</v>
      </c>
      <c r="N64" s="284">
        <f>Rounding!N149</f>
        <v>0.81399999999999995</v>
      </c>
      <c r="O64" s="284">
        <f>Rounding!O149</f>
        <v>1.0029999999999999</v>
      </c>
      <c r="P64" s="284">
        <f>Rounding!P149</f>
        <v>0.97499999999999998</v>
      </c>
      <c r="Q64" s="284">
        <f>Rounding!Q149</f>
        <v>1.3740000000000001</v>
      </c>
      <c r="R64" s="284">
        <f>Rounding!R149</f>
        <v>-0.60099999999999998</v>
      </c>
      <c r="S64" s="284">
        <f>Rounding!S149</f>
        <v>-0.51500000000000001</v>
      </c>
      <c r="T64" s="284">
        <f>Rounding!T149</f>
        <v>-0.60099999999999998</v>
      </c>
      <c r="U64" s="284">
        <f>Rounding!U149</f>
        <v>0</v>
      </c>
      <c r="V64" s="284">
        <f>Rounding!V149</f>
        <v>-0.51500000000000001</v>
      </c>
      <c r="W64" s="284">
        <f>Rounding!W149</f>
        <v>0</v>
      </c>
      <c r="X64" s="284">
        <f>Rounding!X149</f>
        <v>-0.29599999999999999</v>
      </c>
      <c r="Y64" s="284">
        <f>Rounding!Y149</f>
        <v>0</v>
      </c>
      <c r="Z64" s="269"/>
      <c r="AA64" s="269"/>
    </row>
    <row r="65" spans="2:27" x14ac:dyDescent="0.25">
      <c r="C65" s="88"/>
      <c r="F65" t="s">
        <v>158</v>
      </c>
      <c r="G65" s="13" t="s">
        <v>269</v>
      </c>
      <c r="H65" s="284"/>
      <c r="I65" s="269"/>
      <c r="J65" s="284">
        <f>Rounding!J150</f>
        <v>0.51600000000000001</v>
      </c>
      <c r="K65" s="284">
        <f>Rounding!K150</f>
        <v>0.51600000000000001</v>
      </c>
      <c r="L65" s="284">
        <f>Rounding!L150</f>
        <v>0.51200000000000001</v>
      </c>
      <c r="M65" s="284">
        <f>Rounding!M150</f>
        <v>0.51200000000000001</v>
      </c>
      <c r="N65" s="284">
        <f>Rounding!N150</f>
        <v>0.502</v>
      </c>
      <c r="O65" s="284">
        <f>Rounding!O150</f>
        <v>0.72199999999999998</v>
      </c>
      <c r="P65" s="284">
        <f>Rounding!P150</f>
        <v>0.80800000000000005</v>
      </c>
      <c r="Q65" s="284">
        <f>Rounding!Q150</f>
        <v>0.95</v>
      </c>
      <c r="R65" s="284">
        <f>Rounding!R150</f>
        <v>-3.6999999999999998E-2</v>
      </c>
      <c r="S65" s="284">
        <f>Rounding!S150</f>
        <v>-3.1E-2</v>
      </c>
      <c r="T65" s="284">
        <f>Rounding!T150</f>
        <v>-3.6999999999999998E-2</v>
      </c>
      <c r="U65" s="284">
        <f>Rounding!U150</f>
        <v>0</v>
      </c>
      <c r="V65" s="284">
        <f>Rounding!V150</f>
        <v>-3.1E-2</v>
      </c>
      <c r="W65" s="284">
        <f>Rounding!W150</f>
        <v>0</v>
      </c>
      <c r="X65" s="284">
        <f>Rounding!X150</f>
        <v>-1.6E-2</v>
      </c>
      <c r="Y65" s="284">
        <f>Rounding!Y150</f>
        <v>0</v>
      </c>
      <c r="Z65" s="269"/>
      <c r="AA65" s="269"/>
    </row>
    <row r="66" spans="2:27" x14ac:dyDescent="0.25">
      <c r="C66" s="88"/>
      <c r="F66" t="s">
        <v>159</v>
      </c>
      <c r="G66" s="13" t="s">
        <v>270</v>
      </c>
      <c r="H66" s="51"/>
      <c r="J66" s="120">
        <f>Rounding!J151</f>
        <v>2.14</v>
      </c>
      <c r="K66" s="120">
        <f>Rounding!K151</f>
        <v>0</v>
      </c>
      <c r="L66" s="120">
        <f>Rounding!L151</f>
        <v>4.18</v>
      </c>
      <c r="M66" s="120">
        <f>Rounding!M151</f>
        <v>0</v>
      </c>
      <c r="N66" s="120">
        <f>Rounding!N151</f>
        <v>6.35</v>
      </c>
      <c r="O66" s="120">
        <f>Rounding!O151</f>
        <v>7.22</v>
      </c>
      <c r="P66" s="120">
        <f>Rounding!P151</f>
        <v>74.099999999999994</v>
      </c>
      <c r="Q66" s="120">
        <f>Rounding!Q151</f>
        <v>0</v>
      </c>
      <c r="R66" s="120">
        <f>Rounding!R151</f>
        <v>0</v>
      </c>
      <c r="S66" s="120">
        <f>Rounding!S151</f>
        <v>0</v>
      </c>
      <c r="T66" s="120">
        <f>Rounding!T151</f>
        <v>0</v>
      </c>
      <c r="U66" s="120">
        <f>Rounding!U151</f>
        <v>0</v>
      </c>
      <c r="V66" s="120">
        <f>Rounding!V151</f>
        <v>0</v>
      </c>
      <c r="W66" s="120">
        <f>Rounding!W151</f>
        <v>0</v>
      </c>
      <c r="X66" s="120">
        <f>Rounding!X151</f>
        <v>0</v>
      </c>
      <c r="Y66" s="120">
        <f>Rounding!Y151</f>
        <v>0</v>
      </c>
    </row>
    <row r="67" spans="2:27" x14ac:dyDescent="0.25">
      <c r="C67" s="88"/>
      <c r="F67" t="s">
        <v>160</v>
      </c>
      <c r="G67" s="13" t="s">
        <v>271</v>
      </c>
      <c r="H67" s="51"/>
      <c r="J67" s="120">
        <f>Rounding!J152</f>
        <v>0</v>
      </c>
      <c r="K67" s="120">
        <f>Rounding!K152</f>
        <v>0</v>
      </c>
      <c r="L67" s="120">
        <f>Rounding!L152</f>
        <v>0</v>
      </c>
      <c r="M67" s="120">
        <f>Rounding!M152</f>
        <v>0</v>
      </c>
      <c r="N67" s="120">
        <f>Rounding!N152</f>
        <v>1.6</v>
      </c>
      <c r="O67" s="120">
        <f>Rounding!O152</f>
        <v>2.84</v>
      </c>
      <c r="P67" s="120">
        <f>Rounding!P152</f>
        <v>3.91</v>
      </c>
      <c r="Q67" s="120">
        <f>Rounding!Q152</f>
        <v>0</v>
      </c>
      <c r="R67" s="120">
        <f>Rounding!R152</f>
        <v>0</v>
      </c>
      <c r="S67" s="120">
        <f>Rounding!S152</f>
        <v>0</v>
      </c>
      <c r="T67" s="120">
        <f>Rounding!T152</f>
        <v>0</v>
      </c>
      <c r="U67" s="120">
        <f>Rounding!U152</f>
        <v>0</v>
      </c>
      <c r="V67" s="120">
        <f>Rounding!V152</f>
        <v>0</v>
      </c>
      <c r="W67" s="120">
        <f>Rounding!W152</f>
        <v>0</v>
      </c>
      <c r="X67" s="120">
        <f>Rounding!X152</f>
        <v>0</v>
      </c>
      <c r="Y67" s="120">
        <f>Rounding!Y152</f>
        <v>0</v>
      </c>
    </row>
    <row r="68" spans="2:27" x14ac:dyDescent="0.25">
      <c r="C68" s="88"/>
      <c r="F68" t="s">
        <v>161</v>
      </c>
      <c r="G68" s="13" t="s">
        <v>271</v>
      </c>
      <c r="H68" s="51"/>
      <c r="J68" s="120">
        <f>Rounding!J153</f>
        <v>0</v>
      </c>
      <c r="K68" s="120">
        <f>Rounding!K153</f>
        <v>0</v>
      </c>
      <c r="L68" s="120">
        <f>Rounding!L153</f>
        <v>0</v>
      </c>
      <c r="M68" s="120">
        <f>Rounding!M153</f>
        <v>0</v>
      </c>
      <c r="N68" s="120">
        <f>Rounding!N153</f>
        <v>3.18</v>
      </c>
      <c r="O68" s="120">
        <f>Rounding!O153</f>
        <v>4.29</v>
      </c>
      <c r="P68" s="120">
        <f>Rounding!P153</f>
        <v>5.66</v>
      </c>
      <c r="Q68" s="120">
        <f>Rounding!Q153</f>
        <v>0</v>
      </c>
      <c r="R68" s="120">
        <f>Rounding!R153</f>
        <v>0</v>
      </c>
      <c r="S68" s="120">
        <f>Rounding!S153</f>
        <v>0</v>
      </c>
      <c r="T68" s="120">
        <f>Rounding!T153</f>
        <v>0</v>
      </c>
      <c r="U68" s="120">
        <f>Rounding!U153</f>
        <v>0</v>
      </c>
      <c r="V68" s="120">
        <f>Rounding!V153</f>
        <v>0</v>
      </c>
      <c r="W68" s="120">
        <f>Rounding!W153</f>
        <v>0</v>
      </c>
      <c r="X68" s="120">
        <f>Rounding!X153</f>
        <v>0</v>
      </c>
      <c r="Y68" s="120">
        <f>Rounding!Y153</f>
        <v>0</v>
      </c>
    </row>
    <row r="69" spans="2:27" x14ac:dyDescent="0.25">
      <c r="C69" s="88"/>
      <c r="F69" s="37" t="s">
        <v>162</v>
      </c>
      <c r="G69" s="86" t="s">
        <v>272</v>
      </c>
      <c r="H69" s="288"/>
      <c r="I69" s="273"/>
      <c r="J69" s="288">
        <f>Rounding!J154</f>
        <v>0</v>
      </c>
      <c r="K69" s="288">
        <f>Rounding!K154</f>
        <v>0</v>
      </c>
      <c r="L69" s="288">
        <f>Rounding!L154</f>
        <v>0</v>
      </c>
      <c r="M69" s="288">
        <f>Rounding!M154</f>
        <v>0</v>
      </c>
      <c r="N69" s="288">
        <f>Rounding!N154</f>
        <v>8.6999999999999994E-2</v>
      </c>
      <c r="O69" s="288">
        <f>Rounding!O154</f>
        <v>0.09</v>
      </c>
      <c r="P69" s="288">
        <f>Rounding!P154</f>
        <v>5.1999999999999998E-2</v>
      </c>
      <c r="Q69" s="288">
        <f>Rounding!Q154</f>
        <v>0</v>
      </c>
      <c r="R69" s="288">
        <f>Rounding!R154</f>
        <v>0</v>
      </c>
      <c r="S69" s="288">
        <f>Rounding!S154</f>
        <v>0</v>
      </c>
      <c r="T69" s="288">
        <f>Rounding!T154</f>
        <v>0.156</v>
      </c>
      <c r="U69" s="288">
        <f>Rounding!U154</f>
        <v>0</v>
      </c>
      <c r="V69" s="288">
        <f>Rounding!V154</f>
        <v>0.13100000000000001</v>
      </c>
      <c r="W69" s="288">
        <f>Rounding!W154</f>
        <v>0</v>
      </c>
      <c r="X69" s="288">
        <f>Rounding!X154</f>
        <v>0.105</v>
      </c>
      <c r="Y69" s="288">
        <f>Rounding!Y154</f>
        <v>0</v>
      </c>
      <c r="Z69" s="269"/>
      <c r="AA69" s="269"/>
    </row>
    <row r="70" spans="2:27" x14ac:dyDescent="0.25">
      <c r="C70" s="88"/>
      <c r="D70" s="2"/>
      <c r="E70" s="2"/>
      <c r="G70" s="13"/>
      <c r="J70" s="89"/>
      <c r="K70" s="89"/>
      <c r="L70" s="89"/>
      <c r="M70" s="89"/>
      <c r="N70" s="89"/>
      <c r="O70" s="89"/>
      <c r="P70" s="89"/>
      <c r="Q70" s="89"/>
      <c r="R70" s="89"/>
      <c r="S70" s="89"/>
      <c r="T70" s="89"/>
      <c r="U70" s="89"/>
      <c r="V70" s="89"/>
      <c r="W70" s="89"/>
      <c r="X70" s="89"/>
      <c r="Y70" s="89"/>
    </row>
    <row r="71" spans="2:27" x14ac:dyDescent="0.25">
      <c r="C71" s="31" t="str">
        <f ca="1">INDEX('Version control'!$H$34:$H$57,MATCH($A$1,'Version control'!$F$34:$F$57,0),1)&amp;"-C: Net revenue components"</f>
        <v>Section 118-C: Net revenue components</v>
      </c>
      <c r="D71" s="31"/>
      <c r="E71" s="31"/>
      <c r="F71" s="31"/>
      <c r="G71" s="31"/>
      <c r="H71" s="31"/>
      <c r="I71" s="31"/>
      <c r="J71" s="90"/>
      <c r="K71" s="90"/>
      <c r="L71" s="90"/>
      <c r="M71" s="90"/>
      <c r="N71" s="90"/>
      <c r="O71" s="90"/>
      <c r="P71" s="90"/>
      <c r="Q71" s="90"/>
      <c r="R71" s="90"/>
      <c r="S71" s="90"/>
      <c r="T71" s="90"/>
      <c r="U71" s="90"/>
      <c r="V71" s="90"/>
      <c r="W71" s="90"/>
      <c r="X71" s="90"/>
      <c r="Y71" s="90"/>
      <c r="Z71" s="31"/>
      <c r="AA71" s="31"/>
    </row>
    <row r="72" spans="2:27" x14ac:dyDescent="0.25">
      <c r="D72" s="32"/>
      <c r="J72" s="89"/>
      <c r="K72" s="89"/>
      <c r="L72" s="89"/>
      <c r="M72" s="89"/>
      <c r="N72" s="89"/>
      <c r="O72" s="89"/>
      <c r="P72" s="89"/>
      <c r="Q72" s="89"/>
      <c r="R72" s="89"/>
      <c r="S72" s="89"/>
      <c r="T72" s="89"/>
      <c r="U72" s="89"/>
      <c r="V72" s="89"/>
      <c r="W72" s="89"/>
      <c r="X72" s="89"/>
      <c r="Y72" s="89"/>
    </row>
    <row r="73" spans="2:27" x14ac:dyDescent="0.25">
      <c r="E73" t="s">
        <v>738</v>
      </c>
      <c r="G73" s="13" t="s">
        <v>277</v>
      </c>
      <c r="H73" s="120">
        <f>'General inputs'!$H$87</f>
        <v>502143793.88204896</v>
      </c>
      <c r="J73" s="199"/>
      <c r="K73" s="199"/>
      <c r="L73" s="199"/>
      <c r="M73" s="199"/>
      <c r="N73" s="199"/>
      <c r="O73" s="199"/>
      <c r="P73" s="199"/>
      <c r="Q73" s="199"/>
      <c r="R73" s="199"/>
      <c r="S73" s="199"/>
      <c r="T73" s="199"/>
      <c r="U73" s="199"/>
      <c r="V73" s="199"/>
      <c r="W73" s="199"/>
      <c r="X73" s="199"/>
      <c r="Y73" s="199"/>
    </row>
    <row r="74" spans="2:27" x14ac:dyDescent="0.25">
      <c r="E74" t="s">
        <v>873</v>
      </c>
      <c r="G74" s="13" t="s">
        <v>277</v>
      </c>
      <c r="H74" s="120">
        <f>'Revenue matching'!H58</f>
        <v>299471086.2115941</v>
      </c>
      <c r="J74" s="199"/>
      <c r="K74" s="199"/>
      <c r="L74" s="199"/>
      <c r="M74" s="199"/>
      <c r="N74" s="199"/>
      <c r="O74" s="199"/>
      <c r="P74" s="199"/>
      <c r="Q74" s="199"/>
      <c r="R74" s="199"/>
      <c r="S74" s="199"/>
      <c r="T74" s="199"/>
      <c r="U74" s="199"/>
      <c r="V74" s="199"/>
      <c r="W74" s="199"/>
      <c r="X74" s="199"/>
      <c r="Y74" s="199"/>
    </row>
    <row r="75" spans="2:27" x14ac:dyDescent="0.25">
      <c r="E75" t="s">
        <v>1055</v>
      </c>
      <c r="G75" s="13" t="s">
        <v>277</v>
      </c>
      <c r="H75" s="120">
        <f>'Revenue matching'!H158</f>
        <v>200977339.28342551</v>
      </c>
      <c r="J75" s="199"/>
      <c r="K75" s="199"/>
      <c r="L75" s="199"/>
      <c r="M75" s="199"/>
      <c r="N75" s="199"/>
      <c r="O75" s="199"/>
      <c r="P75" s="199"/>
      <c r="Q75" s="199"/>
      <c r="R75" s="199"/>
      <c r="S75" s="199"/>
      <c r="T75" s="199"/>
      <c r="U75" s="199"/>
      <c r="V75" s="199"/>
      <c r="W75" s="199"/>
      <c r="X75" s="199"/>
      <c r="Y75" s="199"/>
    </row>
    <row r="76" spans="2:27" x14ac:dyDescent="0.25">
      <c r="E76" t="s">
        <v>1056</v>
      </c>
      <c r="G76" s="13" t="s">
        <v>277</v>
      </c>
      <c r="H76" s="120">
        <f>'Fixed charge adder'!H52</f>
        <v>1693771.1377956164</v>
      </c>
      <c r="J76" s="199"/>
      <c r="K76" s="199"/>
      <c r="L76" s="199"/>
      <c r="M76" s="199"/>
      <c r="N76" s="199"/>
      <c r="O76" s="199"/>
      <c r="P76" s="199"/>
      <c r="Q76" s="199"/>
      <c r="R76" s="199"/>
      <c r="S76" s="199"/>
      <c r="T76" s="199"/>
      <c r="U76" s="199"/>
      <c r="V76" s="199"/>
      <c r="W76" s="199"/>
      <c r="X76" s="199"/>
      <c r="Y76" s="199"/>
    </row>
    <row r="77" spans="2:27" x14ac:dyDescent="0.25">
      <c r="E77" t="s">
        <v>1057</v>
      </c>
      <c r="G77" s="13" t="s">
        <v>277</v>
      </c>
      <c r="H77" s="120">
        <f>'Fixed charge adder'!H56</f>
        <v>1597.2492336997443</v>
      </c>
      <c r="J77" s="199"/>
      <c r="K77" s="199"/>
      <c r="L77" s="199"/>
      <c r="M77" s="199"/>
      <c r="N77" s="199"/>
      <c r="O77" s="199"/>
      <c r="P77" s="199"/>
      <c r="Q77" s="199"/>
      <c r="R77" s="199"/>
      <c r="S77" s="199"/>
      <c r="T77" s="199"/>
      <c r="U77" s="199"/>
      <c r="V77" s="199"/>
      <c r="W77" s="199"/>
      <c r="X77" s="199"/>
      <c r="Y77" s="199"/>
    </row>
    <row r="78" spans="2:27" x14ac:dyDescent="0.25">
      <c r="D78" s="32"/>
      <c r="H78" s="89"/>
      <c r="J78" s="89"/>
      <c r="K78" s="89"/>
      <c r="L78" s="89"/>
      <c r="M78" s="89"/>
      <c r="N78" s="89"/>
      <c r="O78" s="89"/>
      <c r="P78" s="89"/>
      <c r="Q78" s="89"/>
      <c r="R78" s="89"/>
      <c r="S78" s="89"/>
      <c r="T78" s="89"/>
      <c r="U78" s="89"/>
      <c r="V78" s="89"/>
      <c r="W78" s="89"/>
      <c r="X78" s="89"/>
      <c r="Y78" s="89"/>
    </row>
    <row r="79" spans="2:27" x14ac:dyDescent="0.25">
      <c r="B79" s="30" t="s">
        <v>874</v>
      </c>
      <c r="C79" s="30"/>
      <c r="D79" s="30"/>
      <c r="E79" s="30"/>
      <c r="F79" s="30"/>
      <c r="G79" s="30"/>
      <c r="H79" s="184"/>
      <c r="I79" s="30"/>
      <c r="J79" s="184"/>
      <c r="K79" s="184"/>
      <c r="L79" s="184"/>
      <c r="M79" s="184"/>
      <c r="N79" s="184"/>
      <c r="O79" s="184"/>
      <c r="P79" s="184"/>
      <c r="Q79" s="184"/>
      <c r="R79" s="184"/>
      <c r="S79" s="184"/>
      <c r="T79" s="184"/>
      <c r="U79" s="184"/>
      <c r="V79" s="184"/>
      <c r="W79" s="184"/>
      <c r="X79" s="184"/>
      <c r="Y79" s="184"/>
      <c r="Z79" s="30"/>
      <c r="AA79" s="30"/>
    </row>
    <row r="80" spans="2:27" x14ac:dyDescent="0.25">
      <c r="D80" s="2"/>
      <c r="E80" s="2"/>
      <c r="H80" s="89"/>
      <c r="J80" s="89"/>
      <c r="K80" s="89"/>
      <c r="L80" s="89"/>
      <c r="M80" s="89"/>
      <c r="N80" s="89"/>
      <c r="O80" s="89"/>
      <c r="P80" s="89"/>
      <c r="Q80" s="89"/>
      <c r="R80" s="89"/>
      <c r="S80" s="89"/>
      <c r="T80" s="89"/>
      <c r="U80" s="89"/>
      <c r="V80" s="89"/>
      <c r="W80" s="89"/>
      <c r="X80" s="89"/>
      <c r="Y80" s="89"/>
    </row>
    <row r="81" spans="3:27" x14ac:dyDescent="0.25">
      <c r="C81" s="31" t="str">
        <f ca="1">INDEX('Version control'!$H$34:$H$57,MATCH($A$1,'Version control'!$F$34:$F$57,0),1)&amp;"-D: Net revenue by tariff"</f>
        <v>Section 118-D: Net revenue by tariff</v>
      </c>
      <c r="D81" s="31"/>
      <c r="E81" s="31"/>
      <c r="F81" s="31"/>
      <c r="G81" s="31"/>
      <c r="H81" s="90"/>
      <c r="I81" s="31"/>
      <c r="J81" s="90"/>
      <c r="K81" s="90"/>
      <c r="L81" s="90"/>
      <c r="M81" s="90"/>
      <c r="N81" s="90"/>
      <c r="O81" s="90"/>
      <c r="P81" s="90"/>
      <c r="Q81" s="90"/>
      <c r="R81" s="90"/>
      <c r="S81" s="90"/>
      <c r="T81" s="90"/>
      <c r="U81" s="90"/>
      <c r="V81" s="90"/>
      <c r="W81" s="90"/>
      <c r="X81" s="90"/>
      <c r="Y81" s="90"/>
      <c r="Z81" s="31"/>
      <c r="AA81" s="31"/>
    </row>
    <row r="82" spans="3:27" x14ac:dyDescent="0.25">
      <c r="F82" s="3"/>
      <c r="G82" s="216"/>
      <c r="H82" s="127"/>
      <c r="I82" s="3"/>
      <c r="J82" s="89"/>
      <c r="K82" s="89"/>
      <c r="L82" s="89"/>
      <c r="M82" s="89"/>
      <c r="N82" s="89"/>
      <c r="O82" s="89"/>
      <c r="P82" s="89"/>
      <c r="Q82" s="89"/>
      <c r="R82" s="89"/>
      <c r="S82" s="89"/>
      <c r="T82" s="89"/>
      <c r="U82" s="89"/>
      <c r="V82" s="89"/>
      <c r="W82" s="89"/>
      <c r="X82" s="89"/>
      <c r="Y82" s="89"/>
    </row>
    <row r="83" spans="3:27" x14ac:dyDescent="0.25">
      <c r="E83" s="32" t="s">
        <v>875</v>
      </c>
      <c r="G83" s="13"/>
      <c r="H83" s="217" t="s">
        <v>545</v>
      </c>
      <c r="J83" s="89"/>
      <c r="K83" s="89"/>
      <c r="L83" s="89"/>
      <c r="M83" s="89"/>
      <c r="N83" s="89"/>
      <c r="O83" s="89"/>
      <c r="P83" s="89"/>
      <c r="Q83" s="89"/>
      <c r="R83" s="89"/>
      <c r="S83" s="89"/>
      <c r="T83" s="89"/>
      <c r="U83" s="89"/>
      <c r="V83" s="89"/>
      <c r="W83" s="89"/>
      <c r="X83" s="89"/>
      <c r="Y83" s="89"/>
    </row>
    <row r="84" spans="3:27" x14ac:dyDescent="0.25">
      <c r="E84" s="28"/>
      <c r="F84" s="23" t="s">
        <v>156</v>
      </c>
      <c r="G84" s="85" t="s">
        <v>277</v>
      </c>
      <c r="H84" s="126">
        <f t="shared" ref="H84:H90" si="0">SUM(J84:Y84)</f>
        <v>146239902.84291714</v>
      </c>
      <c r="I84" s="23"/>
      <c r="J84" s="126">
        <f t="shared" ref="J84:K84" si="1">J16 * thousand * J45 / hundred</f>
        <v>84883323.539687991</v>
      </c>
      <c r="K84" s="126">
        <f t="shared" si="1"/>
        <v>73857.632277784855</v>
      </c>
      <c r="L84" s="126">
        <f t="shared" ref="L84:M84" si="2">L16 * thousand * L45 / hundred</f>
        <v>25146300</v>
      </c>
      <c r="M84" s="126">
        <f t="shared" si="2"/>
        <v>2296.3412511971928</v>
      </c>
      <c r="N84" s="126">
        <f t="shared" ref="N84:P84" si="3">N16 * thousand * N45 / hundred</f>
        <v>19540396.811137713</v>
      </c>
      <c r="O84" s="126">
        <f t="shared" si="3"/>
        <v>1129679.3019174701</v>
      </c>
      <c r="P84" s="126">
        <f t="shared" si="3"/>
        <v>19849383.446750194</v>
      </c>
      <c r="Q84" s="126">
        <f t="shared" ref="Q84:S84" si="4">Q16 * thousand * Q45 / hundred</f>
        <v>2130395.4670320884</v>
      </c>
      <c r="R84" s="126">
        <f t="shared" si="4"/>
        <v>-5297.9597682844569</v>
      </c>
      <c r="S84" s="126">
        <f t="shared" si="4"/>
        <v>0</v>
      </c>
      <c r="T84" s="126">
        <f t="shared" ref="T84:U84" si="5">T16 * thousand * T45 / hundred</f>
        <v>-216028.80843471945</v>
      </c>
      <c r="U84" s="126">
        <f t="shared" si="5"/>
        <v>0</v>
      </c>
      <c r="V84" s="126">
        <f t="shared" ref="V84:W84" si="6">V16 * thousand * V45 / hundred</f>
        <v>-25642.081769808647</v>
      </c>
      <c r="W84" s="126">
        <f t="shared" si="6"/>
        <v>0</v>
      </c>
      <c r="X84" s="126">
        <f t="shared" ref="X84:Y84" si="7">X16 * thousand * X45 / hundred</f>
        <v>-6268760.8471644428</v>
      </c>
      <c r="Y84" s="126">
        <f t="shared" si="7"/>
        <v>0</v>
      </c>
    </row>
    <row r="85" spans="3:27" x14ac:dyDescent="0.25">
      <c r="E85" s="28"/>
      <c r="F85" t="s">
        <v>157</v>
      </c>
      <c r="G85" s="13" t="s">
        <v>277</v>
      </c>
      <c r="H85" s="98">
        <f t="shared" si="0"/>
        <v>126693514.72660814</v>
      </c>
      <c r="J85" s="98">
        <f t="shared" ref="J85:K85" si="8">J17 * thousand * J46 / hundred</f>
        <v>53753269.368943699</v>
      </c>
      <c r="K85" s="98">
        <f t="shared" si="8"/>
        <v>101625.47331335708</v>
      </c>
      <c r="L85" s="98">
        <f t="shared" ref="L85:M85" si="9">L17 * thousand * L46 / hundred</f>
        <v>23370450</v>
      </c>
      <c r="M85" s="98">
        <f t="shared" si="9"/>
        <v>8051.8450588111828</v>
      </c>
      <c r="N85" s="98">
        <f t="shared" ref="N85:P85" si="10">N17 * thousand * N46 / hundred</f>
        <v>20965608.325733487</v>
      </c>
      <c r="O85" s="98">
        <f t="shared" si="10"/>
        <v>1241999.1684276303</v>
      </c>
      <c r="P85" s="98">
        <f t="shared" si="10"/>
        <v>27827192.800379254</v>
      </c>
      <c r="Q85" s="98">
        <f t="shared" ref="Q85:S85" si="11">Q17 * thousand * Q46 / hundred</f>
        <v>1215090.6678431607</v>
      </c>
      <c r="R85" s="98">
        <f t="shared" si="11"/>
        <v>-3685.2249031899305</v>
      </c>
      <c r="S85" s="98">
        <f t="shared" si="11"/>
        <v>0</v>
      </c>
      <c r="T85" s="98">
        <f t="shared" ref="T85:U85" si="12">T17 * thousand * T46 / hundred</f>
        <v>-135284.11044025412</v>
      </c>
      <c r="U85" s="98">
        <f t="shared" si="12"/>
        <v>0</v>
      </c>
      <c r="V85" s="98">
        <f t="shared" ref="V85:W85" si="13">V17 * thousand * V46 / hundred</f>
        <v>-12463.389838103481</v>
      </c>
      <c r="W85" s="98">
        <f t="shared" si="13"/>
        <v>0</v>
      </c>
      <c r="X85" s="98">
        <f t="shared" ref="X85:Y85" si="14">X17 * thousand * X46 / hundred</f>
        <v>-1638340.1979096958</v>
      </c>
      <c r="Y85" s="98">
        <f t="shared" si="14"/>
        <v>0</v>
      </c>
    </row>
    <row r="86" spans="3:27" x14ac:dyDescent="0.25">
      <c r="E86" s="28"/>
      <c r="F86" t="s">
        <v>158</v>
      </c>
      <c r="G86" s="13" t="s">
        <v>277</v>
      </c>
      <c r="H86" s="98">
        <f t="shared" si="0"/>
        <v>109101130.31061977</v>
      </c>
      <c r="J86" s="98">
        <f t="shared" ref="J86:K86" si="15">J18 * thousand * J47 / hundred</f>
        <v>44574076.636067525</v>
      </c>
      <c r="K86" s="98">
        <f t="shared" si="15"/>
        <v>92562.349732054805</v>
      </c>
      <c r="L86" s="98">
        <f t="shared" ref="L86:M86" si="16">L18 * thousand * L47 / hundred</f>
        <v>13710329.999999993</v>
      </c>
      <c r="M86" s="98">
        <f t="shared" si="16"/>
        <v>16623.447895171914</v>
      </c>
      <c r="N86" s="98">
        <f t="shared" ref="N86:P86" si="17">N18 * thousand * N47 / hundred</f>
        <v>14128927.186957093</v>
      </c>
      <c r="O86" s="98">
        <f t="shared" si="17"/>
        <v>1019159.5777646414</v>
      </c>
      <c r="P86" s="98">
        <f t="shared" si="17"/>
        <v>32883870.207750525</v>
      </c>
      <c r="Q86" s="98">
        <f t="shared" ref="Q86:S86" si="18">Q18 * thousand * Q47 / hundred</f>
        <v>2789853.53930452</v>
      </c>
      <c r="R86" s="98">
        <f t="shared" si="18"/>
        <v>-133.34661607462499</v>
      </c>
      <c r="S86" s="98">
        <f t="shared" si="18"/>
        <v>0</v>
      </c>
      <c r="T86" s="98">
        <f t="shared" ref="T86:U86" si="19">T18 * thousand * T47 / hundred</f>
        <v>-8784.6984506585013</v>
      </c>
      <c r="U86" s="98">
        <f t="shared" si="19"/>
        <v>0</v>
      </c>
      <c r="V86" s="98">
        <f t="shared" ref="V86:W86" si="20">V18 * thousand * V47 / hundred</f>
        <v>-1295.0333762264015</v>
      </c>
      <c r="W86" s="98">
        <f t="shared" si="20"/>
        <v>0</v>
      </c>
      <c r="X86" s="98">
        <f t="shared" ref="X86:Y86" si="21">X18 * thousand * X47 / hundred</f>
        <v>-104059.55640881037</v>
      </c>
      <c r="Y86" s="98">
        <f t="shared" si="21"/>
        <v>0</v>
      </c>
    </row>
    <row r="87" spans="3:27" x14ac:dyDescent="0.25">
      <c r="E87" s="28"/>
      <c r="F87" s="23" t="s">
        <v>159</v>
      </c>
      <c r="G87" s="85" t="s">
        <v>277</v>
      </c>
      <c r="H87" s="126">
        <f t="shared" si="0"/>
        <v>40588253.817660935</v>
      </c>
      <c r="I87" s="23"/>
      <c r="J87" s="126">
        <f t="shared" ref="J87:K87" si="22" xml:space="preserve"> J19 * J48 * days_in_year / hundred</f>
        <v>33820539.762284525</v>
      </c>
      <c r="K87" s="126">
        <f t="shared" si="22"/>
        <v>0</v>
      </c>
      <c r="L87" s="126">
        <f t="shared" ref="L87:M87" si="23" xml:space="preserve"> L19 * L48 * days_in_year / hundred</f>
        <v>5039328.3019085238</v>
      </c>
      <c r="M87" s="126">
        <f t="shared" si="23"/>
        <v>0</v>
      </c>
      <c r="N87" s="126">
        <f t="shared" ref="N87:P87" si="24" xml:space="preserve"> N19 * N48 * days_in_year / hundred</f>
        <v>636629.13469540933</v>
      </c>
      <c r="O87" s="126">
        <f t="shared" si="24"/>
        <v>14936.325905440179</v>
      </c>
      <c r="P87" s="126">
        <f t="shared" si="24"/>
        <v>990986.54403646605</v>
      </c>
      <c r="Q87" s="126">
        <f t="shared" ref="Q87:S87" si="25" xml:space="preserve"> Q19 * Q48 * days_in_year / hundred</f>
        <v>0</v>
      </c>
      <c r="R87" s="126">
        <f t="shared" si="25"/>
        <v>0</v>
      </c>
      <c r="S87" s="126">
        <f t="shared" si="25"/>
        <v>0</v>
      </c>
      <c r="T87" s="126">
        <f t="shared" ref="T87:U87" si="26" xml:space="preserve"> T19 * T48 * days_in_year / hundred</f>
        <v>0</v>
      </c>
      <c r="U87" s="126">
        <f t="shared" si="26"/>
        <v>0</v>
      </c>
      <c r="V87" s="126">
        <f t="shared" ref="V87:W87" si="27" xml:space="preserve"> V19 * V48 * days_in_year / hundred</f>
        <v>0</v>
      </c>
      <c r="W87" s="126">
        <f t="shared" si="27"/>
        <v>0</v>
      </c>
      <c r="X87" s="126">
        <f t="shared" ref="X87:Y87" si="28" xml:space="preserve"> X19 * X48 * days_in_year / hundred</f>
        <v>85833.74883057455</v>
      </c>
      <c r="Y87" s="126">
        <f t="shared" si="28"/>
        <v>0</v>
      </c>
    </row>
    <row r="88" spans="3:27" x14ac:dyDescent="0.25">
      <c r="E88" s="28"/>
      <c r="F88" t="s">
        <v>160</v>
      </c>
      <c r="G88" s="13" t="s">
        <v>277</v>
      </c>
      <c r="H88" s="98">
        <f t="shared" si="0"/>
        <v>65929205.132333323</v>
      </c>
      <c r="J88" s="98">
        <f t="shared" ref="J88:K88" si="29" xml:space="preserve"> J20 * J49 * days_in_year / hundred</f>
        <v>0</v>
      </c>
      <c r="K88" s="98">
        <f t="shared" si="29"/>
        <v>0</v>
      </c>
      <c r="L88" s="98">
        <f t="shared" ref="L88:M88" si="30" xml:space="preserve"> L20 * L49 * days_in_year / hundred</f>
        <v>0</v>
      </c>
      <c r="M88" s="98">
        <f t="shared" si="30"/>
        <v>0</v>
      </c>
      <c r="N88" s="98">
        <f t="shared" ref="N88:P88" si="31" xml:space="preserve"> N20 * N49 * days_in_year / hundred</f>
        <v>21487892.248333339</v>
      </c>
      <c r="O88" s="98">
        <f t="shared" si="31"/>
        <v>1875726.6293333331</v>
      </c>
      <c r="P88" s="98">
        <f t="shared" si="31"/>
        <v>42565586.254666656</v>
      </c>
      <c r="Q88" s="98">
        <f t="shared" ref="Q88:S88" si="32" xml:space="preserve"> Q20 * Q49 * days_in_year / hundred</f>
        <v>0</v>
      </c>
      <c r="R88" s="98">
        <f t="shared" si="32"/>
        <v>0</v>
      </c>
      <c r="S88" s="98">
        <f t="shared" si="32"/>
        <v>0</v>
      </c>
      <c r="T88" s="98">
        <f t="shared" ref="T88:U88" si="33" xml:space="preserve"> T20 * T49 * days_in_year / hundred</f>
        <v>0</v>
      </c>
      <c r="U88" s="98">
        <f t="shared" si="33"/>
        <v>0</v>
      </c>
      <c r="V88" s="98">
        <f t="shared" ref="V88:W88" si="34" xml:space="preserve"> V20 * V49 * days_in_year / hundred</f>
        <v>0</v>
      </c>
      <c r="W88" s="98">
        <f t="shared" si="34"/>
        <v>0</v>
      </c>
      <c r="X88" s="98">
        <f t="shared" ref="X88:Y88" si="35" xml:space="preserve"> X20 * X49 * days_in_year / hundred</f>
        <v>0</v>
      </c>
      <c r="Y88" s="98">
        <f t="shared" si="35"/>
        <v>0</v>
      </c>
    </row>
    <row r="89" spans="3:27" x14ac:dyDescent="0.25">
      <c r="E89" s="28"/>
      <c r="F89" t="s">
        <v>161</v>
      </c>
      <c r="G89" s="13" t="s">
        <v>277</v>
      </c>
      <c r="H89" s="98">
        <f t="shared" si="0"/>
        <v>1813232.2576978712</v>
      </c>
      <c r="J89" s="98">
        <f t="shared" ref="J89:K89" si="36" xml:space="preserve"> J21 * J50 * days_in_year / hundred</f>
        <v>0</v>
      </c>
      <c r="K89" s="98">
        <f t="shared" si="36"/>
        <v>0</v>
      </c>
      <c r="L89" s="98">
        <f t="shared" ref="L89:M89" si="37" xml:space="preserve"> L21 * L50 * days_in_year / hundred</f>
        <v>0</v>
      </c>
      <c r="M89" s="98">
        <f t="shared" si="37"/>
        <v>0</v>
      </c>
      <c r="N89" s="98">
        <f t="shared" ref="N89:P89" si="38" xml:space="preserve"> N21 * N50 * days_in_year / hundred</f>
        <v>743240.13074788416</v>
      </c>
      <c r="O89" s="98">
        <f t="shared" si="38"/>
        <v>44594.430402025675</v>
      </c>
      <c r="P89" s="98">
        <f t="shared" si="38"/>
        <v>1025397.6965479613</v>
      </c>
      <c r="Q89" s="98">
        <f t="shared" ref="Q89:S89" si="39" xml:space="preserve"> Q21 * Q50 * days_in_year / hundred</f>
        <v>0</v>
      </c>
      <c r="R89" s="98">
        <f t="shared" si="39"/>
        <v>0</v>
      </c>
      <c r="S89" s="98">
        <f t="shared" si="39"/>
        <v>0</v>
      </c>
      <c r="T89" s="98">
        <f t="shared" ref="T89:U89" si="40" xml:space="preserve"> T21 * T50 * days_in_year / hundred</f>
        <v>0</v>
      </c>
      <c r="U89" s="98">
        <f t="shared" si="40"/>
        <v>0</v>
      </c>
      <c r="V89" s="98">
        <f t="shared" ref="V89:W89" si="41" xml:space="preserve"> V21 * V50 * days_in_year / hundred</f>
        <v>0</v>
      </c>
      <c r="W89" s="98">
        <f t="shared" si="41"/>
        <v>0</v>
      </c>
      <c r="X89" s="98">
        <f t="shared" ref="X89:Y89" si="42" xml:space="preserve"> X21 * X50 * days_in_year / hundred</f>
        <v>0</v>
      </c>
      <c r="Y89" s="98">
        <f t="shared" si="42"/>
        <v>0</v>
      </c>
    </row>
    <row r="90" spans="3:27" x14ac:dyDescent="0.25">
      <c r="E90" s="28"/>
      <c r="F90" s="23" t="s">
        <v>162</v>
      </c>
      <c r="G90" s="85" t="s">
        <v>277</v>
      </c>
      <c r="H90" s="126">
        <f t="shared" si="0"/>
        <v>961543.48594589101</v>
      </c>
      <c r="I90" s="23"/>
      <c r="J90" s="126">
        <f t="shared" ref="J90:K90" si="43">J22 * thousand * J51 / hundred</f>
        <v>0</v>
      </c>
      <c r="K90" s="126">
        <f t="shared" si="43"/>
        <v>0</v>
      </c>
      <c r="L90" s="126">
        <f t="shared" ref="L90:M90" si="44">L22 * thousand * L51 / hundred</f>
        <v>0</v>
      </c>
      <c r="M90" s="126">
        <f t="shared" si="44"/>
        <v>0</v>
      </c>
      <c r="N90" s="126">
        <f t="shared" ref="N90:P90" si="45">N22 * thousand * N51 / hundred</f>
        <v>562326.13918599184</v>
      </c>
      <c r="O90" s="126">
        <f t="shared" si="45"/>
        <v>33747.968971117414</v>
      </c>
      <c r="P90" s="126">
        <f t="shared" si="45"/>
        <v>340159.61298579833</v>
      </c>
      <c r="Q90" s="126">
        <f t="shared" ref="Q90:S90" si="46">Q22 * thousand * Q51 / hundred</f>
        <v>0</v>
      </c>
      <c r="R90" s="126">
        <f t="shared" si="46"/>
        <v>0</v>
      </c>
      <c r="S90" s="126">
        <f t="shared" si="46"/>
        <v>0</v>
      </c>
      <c r="T90" s="126">
        <f t="shared" ref="T90:U90" si="47">T22 * thousand * T51 / hundred</f>
        <v>5801.1569225677631</v>
      </c>
      <c r="U90" s="126">
        <f t="shared" si="47"/>
        <v>0</v>
      </c>
      <c r="V90" s="126">
        <f t="shared" ref="V90:W90" si="48">V22 * thousand * V51 / hundred</f>
        <v>695.44136853487203</v>
      </c>
      <c r="W90" s="126">
        <f t="shared" si="48"/>
        <v>0</v>
      </c>
      <c r="X90" s="126">
        <f t="shared" ref="X90:Y90" si="49">X22 * thousand * X51 / hundred</f>
        <v>18813.166511880718</v>
      </c>
      <c r="Y90" s="126">
        <f t="shared" si="49"/>
        <v>0</v>
      </c>
    </row>
    <row r="91" spans="3:27" x14ac:dyDescent="0.25">
      <c r="E91" s="28"/>
      <c r="F91" s="108" t="s">
        <v>100</v>
      </c>
      <c r="G91" s="218" t="s">
        <v>277</v>
      </c>
      <c r="H91" s="153">
        <f>SUM(H84:H90)</f>
        <v>491326782.5737831</v>
      </c>
      <c r="I91" s="54"/>
      <c r="J91" s="153">
        <f t="shared" ref="J91:K91" si="50">SUM(J84:J90)</f>
        <v>217031209.30698371</v>
      </c>
      <c r="K91" s="153">
        <f t="shared" si="50"/>
        <v>268045.45532319671</v>
      </c>
      <c r="L91" s="153">
        <f t="shared" ref="L91:M91" si="51">SUM(L84:L90)</f>
        <v>67266408.301908523</v>
      </c>
      <c r="M91" s="153">
        <f t="shared" si="51"/>
        <v>26971.634205180289</v>
      </c>
      <c r="N91" s="153">
        <f t="shared" ref="N91:P91" si="52">SUM(N84:N90)</f>
        <v>78065019.97679092</v>
      </c>
      <c r="O91" s="153">
        <f t="shared" si="52"/>
        <v>5359843.4027216583</v>
      </c>
      <c r="P91" s="153">
        <f t="shared" si="52"/>
        <v>125482576.56311685</v>
      </c>
      <c r="Q91" s="153">
        <f t="shared" ref="Q91:S91" si="53">SUM(Q84:Q90)</f>
        <v>6135339.6741797691</v>
      </c>
      <c r="R91" s="153">
        <f t="shared" si="53"/>
        <v>-9116.5312875490126</v>
      </c>
      <c r="S91" s="153">
        <f t="shared" si="53"/>
        <v>0</v>
      </c>
      <c r="T91" s="153">
        <f t="shared" ref="T91:U91" si="54">SUM(T84:T90)</f>
        <v>-354296.46040306432</v>
      </c>
      <c r="U91" s="153">
        <f t="shared" si="54"/>
        <v>0</v>
      </c>
      <c r="V91" s="153">
        <f t="shared" ref="V91:W91" si="55">SUM(V84:V90)</f>
        <v>-38705.063615603656</v>
      </c>
      <c r="W91" s="153">
        <f t="shared" si="55"/>
        <v>0</v>
      </c>
      <c r="X91" s="153">
        <f t="shared" ref="X91:Y91" si="56">SUM(X84:X90)</f>
        <v>-7906513.6861404935</v>
      </c>
      <c r="Y91" s="153">
        <f t="shared" si="56"/>
        <v>0</v>
      </c>
    </row>
    <row r="92" spans="3:27" x14ac:dyDescent="0.25">
      <c r="E92" s="28"/>
      <c r="G92" s="13"/>
      <c r="H92" s="89"/>
      <c r="J92" s="89"/>
      <c r="K92" s="89"/>
      <c r="L92" s="89"/>
      <c r="M92" s="89"/>
      <c r="N92" s="89"/>
      <c r="O92" s="89"/>
      <c r="P92" s="89"/>
      <c r="Q92" s="89"/>
      <c r="R92" s="89"/>
      <c r="S92" s="89"/>
      <c r="T92" s="89"/>
      <c r="U92" s="89"/>
      <c r="V92" s="89"/>
      <c r="W92" s="89"/>
      <c r="X92" s="89"/>
      <c r="Y92" s="89"/>
    </row>
    <row r="93" spans="3:27" x14ac:dyDescent="0.25">
      <c r="E93" s="32" t="s">
        <v>876</v>
      </c>
      <c r="G93" s="13"/>
      <c r="H93" s="217" t="s">
        <v>545</v>
      </c>
      <c r="J93" s="89"/>
      <c r="K93" s="89"/>
      <c r="L93" s="89"/>
      <c r="M93" s="89"/>
      <c r="N93" s="89"/>
      <c r="O93" s="89"/>
      <c r="P93" s="89"/>
      <c r="Q93" s="89"/>
      <c r="R93" s="89"/>
      <c r="S93" s="89"/>
      <c r="T93" s="89"/>
      <c r="U93" s="89"/>
      <c r="V93" s="89"/>
      <c r="W93" s="89"/>
      <c r="X93" s="89"/>
      <c r="Y93" s="89"/>
    </row>
    <row r="94" spans="3:27" x14ac:dyDescent="0.25">
      <c r="E94" s="28"/>
      <c r="F94" s="23" t="s">
        <v>156</v>
      </c>
      <c r="G94" s="85" t="s">
        <v>277</v>
      </c>
      <c r="H94" s="126">
        <f t="shared" ref="H94:H100" si="57">SUM(J94:Y94)</f>
        <v>894723.19907280069</v>
      </c>
      <c r="I94" s="23"/>
      <c r="J94" s="126">
        <f t="shared" ref="J94:K94" si="58">J25 * thousand * J54 / hundred</f>
        <v>795472.55555678497</v>
      </c>
      <c r="K94" s="126">
        <f t="shared" si="58"/>
        <v>0</v>
      </c>
      <c r="L94" s="126">
        <f t="shared" ref="L94:M94" si="59">L25 * thousand * L54 / hundred</f>
        <v>24221.08735078694</v>
      </c>
      <c r="M94" s="126">
        <f t="shared" si="59"/>
        <v>0</v>
      </c>
      <c r="N94" s="126">
        <f t="shared" ref="N94:P94" si="60">N25 * thousand * N54 / hundred</f>
        <v>73385.486446554103</v>
      </c>
      <c r="O94" s="126">
        <f t="shared" si="60"/>
        <v>0</v>
      </c>
      <c r="P94" s="126">
        <f t="shared" si="60"/>
        <v>0</v>
      </c>
      <c r="Q94" s="126">
        <f t="shared" ref="Q94:S94" si="61">Q25 * thousand * Q54 / hundred</f>
        <v>1729.1940912191756</v>
      </c>
      <c r="R94" s="126">
        <f t="shared" si="61"/>
        <v>-85.124372544512468</v>
      </c>
      <c r="S94" s="126">
        <f t="shared" si="61"/>
        <v>0</v>
      </c>
      <c r="T94" s="126">
        <f t="shared" ref="T94:U94" si="62">T25 * thousand * T54 / hundred</f>
        <v>0</v>
      </c>
      <c r="U94" s="126">
        <f t="shared" si="62"/>
        <v>0</v>
      </c>
      <c r="V94" s="126">
        <f t="shared" ref="V94:W94" si="63">V25 * thousand * V54 / hundred</f>
        <v>0</v>
      </c>
      <c r="W94" s="126">
        <f t="shared" si="63"/>
        <v>0</v>
      </c>
      <c r="X94" s="126">
        <f t="shared" ref="X94:Y94" si="64">X25 * thousand * X54 / hundred</f>
        <v>0</v>
      </c>
      <c r="Y94" s="126">
        <f t="shared" si="64"/>
        <v>0</v>
      </c>
    </row>
    <row r="95" spans="3:27" x14ac:dyDescent="0.25">
      <c r="E95" s="28"/>
      <c r="F95" t="s">
        <v>157</v>
      </c>
      <c r="G95" s="13" t="s">
        <v>277</v>
      </c>
      <c r="H95" s="98">
        <f t="shared" si="57"/>
        <v>582968.21160433698</v>
      </c>
      <c r="J95" s="98">
        <f t="shared" ref="J95:K95" si="65">J26 * thousand * J55 / hundred</f>
        <v>487145.85582952574</v>
      </c>
      <c r="K95" s="98">
        <f t="shared" si="65"/>
        <v>0</v>
      </c>
      <c r="L95" s="98">
        <f t="shared" ref="L95:M95" si="66">L26 * thousand * L55 / hundred</f>
        <v>23601.789860794401</v>
      </c>
      <c r="M95" s="98">
        <f t="shared" si="66"/>
        <v>0</v>
      </c>
      <c r="N95" s="98">
        <f t="shared" ref="N95:P95" si="67">N26 * thousand * N55 / hundred</f>
        <v>69963.320597095022</v>
      </c>
      <c r="O95" s="98">
        <f t="shared" si="67"/>
        <v>0</v>
      </c>
      <c r="P95" s="98">
        <f t="shared" si="67"/>
        <v>0</v>
      </c>
      <c r="Q95" s="98">
        <f t="shared" ref="Q95:S95" si="68">Q26 * thousand * Q55 / hundred</f>
        <v>2308.6183079957709</v>
      </c>
      <c r="R95" s="98">
        <f t="shared" si="68"/>
        <v>-51.372991073933854</v>
      </c>
      <c r="S95" s="98">
        <f t="shared" si="68"/>
        <v>0</v>
      </c>
      <c r="T95" s="98">
        <f t="shared" ref="T95:U95" si="69">T26 * thousand * T55 / hundred</f>
        <v>0</v>
      </c>
      <c r="U95" s="98">
        <f t="shared" si="69"/>
        <v>0</v>
      </c>
      <c r="V95" s="98">
        <f t="shared" ref="V95:W95" si="70">V26 * thousand * V55 / hundred</f>
        <v>0</v>
      </c>
      <c r="W95" s="98">
        <f t="shared" si="70"/>
        <v>0</v>
      </c>
      <c r="X95" s="98">
        <f t="shared" ref="X95:Y95" si="71">X26 * thousand * X55 / hundred</f>
        <v>0</v>
      </c>
      <c r="Y95" s="98">
        <f t="shared" si="71"/>
        <v>0</v>
      </c>
    </row>
    <row r="96" spans="3:27" x14ac:dyDescent="0.25">
      <c r="E96" s="28"/>
      <c r="F96" t="s">
        <v>158</v>
      </c>
      <c r="G96" s="13" t="s">
        <v>277</v>
      </c>
      <c r="H96" s="98">
        <f t="shared" si="57"/>
        <v>435308.65572672628</v>
      </c>
      <c r="J96" s="98">
        <f t="shared" ref="J96:K96" si="72">J27 * thousand * J56 / hundred</f>
        <v>367000.04496659688</v>
      </c>
      <c r="K96" s="98">
        <f t="shared" si="72"/>
        <v>0</v>
      </c>
      <c r="L96" s="98">
        <f t="shared" ref="L96:M96" si="73">L27 * thousand * L56 / hundred</f>
        <v>11876.04751494325</v>
      </c>
      <c r="M96" s="98">
        <f t="shared" si="73"/>
        <v>0</v>
      </c>
      <c r="N96" s="98">
        <f t="shared" ref="N96:P96" si="74">N27 * thousand * N56 / hundred</f>
        <v>53686.535144586043</v>
      </c>
      <c r="O96" s="98">
        <f t="shared" si="74"/>
        <v>0</v>
      </c>
      <c r="P96" s="98">
        <f t="shared" si="74"/>
        <v>0</v>
      </c>
      <c r="Q96" s="98">
        <f t="shared" ref="Q96:S96" si="75">Q27 * thousand * Q56 / hundred</f>
        <v>2747.8947217728141</v>
      </c>
      <c r="R96" s="98">
        <f t="shared" si="75"/>
        <v>-1.8666211726738482</v>
      </c>
      <c r="S96" s="98">
        <f t="shared" si="75"/>
        <v>0</v>
      </c>
      <c r="T96" s="98">
        <f t="shared" ref="T96:U96" si="76">T27 * thousand * T56 / hundred</f>
        <v>0</v>
      </c>
      <c r="U96" s="98">
        <f t="shared" si="76"/>
        <v>0</v>
      </c>
      <c r="V96" s="98">
        <f t="shared" ref="V96:W96" si="77">V27 * thousand * V56 / hundred</f>
        <v>0</v>
      </c>
      <c r="W96" s="98">
        <f t="shared" si="77"/>
        <v>0</v>
      </c>
      <c r="X96" s="98">
        <f t="shared" ref="X96:Y96" si="78">X27 * thousand * X56 / hundred</f>
        <v>0</v>
      </c>
      <c r="Y96" s="98">
        <f t="shared" si="78"/>
        <v>0</v>
      </c>
    </row>
    <row r="97" spans="3:25" x14ac:dyDescent="0.25">
      <c r="E97" s="28"/>
      <c r="F97" s="23" t="s">
        <v>159</v>
      </c>
      <c r="G97" s="85" t="s">
        <v>277</v>
      </c>
      <c r="H97" s="126">
        <f t="shared" si="57"/>
        <v>380113.95288999315</v>
      </c>
      <c r="I97" s="23"/>
      <c r="J97" s="126">
        <f t="shared" ref="J97:K97" si="79" xml:space="preserve"> J28 * J57 * days_in_year / hundred</f>
        <v>365143.81116147625</v>
      </c>
      <c r="K97" s="126">
        <f t="shared" si="79"/>
        <v>0</v>
      </c>
      <c r="L97" s="126">
        <f t="shared" ref="L97:M97" si="80" xml:space="preserve"> L28 * L57 * days_in_year / hundred</f>
        <v>12872.045140019</v>
      </c>
      <c r="M97" s="126">
        <f t="shared" si="80"/>
        <v>0</v>
      </c>
      <c r="N97" s="126">
        <f t="shared" ref="N97:P97" si="81" xml:space="preserve"> N28 * N57 * days_in_year / hundred</f>
        <v>2098.0965884979423</v>
      </c>
      <c r="O97" s="126">
        <f t="shared" si="81"/>
        <v>0</v>
      </c>
      <c r="P97" s="126">
        <f t="shared" si="81"/>
        <v>0</v>
      </c>
      <c r="Q97" s="126">
        <f t="shared" ref="Q97:S97" si="82" xml:space="preserve"> Q28 * Q57 * days_in_year / hundred</f>
        <v>0</v>
      </c>
      <c r="R97" s="126">
        <f t="shared" si="82"/>
        <v>0</v>
      </c>
      <c r="S97" s="126">
        <f t="shared" si="82"/>
        <v>0</v>
      </c>
      <c r="T97" s="126">
        <f t="shared" ref="T97:U97" si="83" xml:space="preserve"> T28 * T57 * days_in_year / hundred</f>
        <v>0</v>
      </c>
      <c r="U97" s="126">
        <f t="shared" si="83"/>
        <v>0</v>
      </c>
      <c r="V97" s="126">
        <f t="shared" ref="V97:W97" si="84" xml:space="preserve"> V28 * V57 * days_in_year / hundred</f>
        <v>0</v>
      </c>
      <c r="W97" s="126">
        <f t="shared" si="84"/>
        <v>0</v>
      </c>
      <c r="X97" s="126">
        <f t="shared" ref="X97:Y97" si="85" xml:space="preserve"> X28 * X57 * days_in_year / hundred</f>
        <v>0</v>
      </c>
      <c r="Y97" s="126">
        <f t="shared" si="85"/>
        <v>0</v>
      </c>
    </row>
    <row r="98" spans="3:25" x14ac:dyDescent="0.25">
      <c r="E98" s="28"/>
      <c r="F98" t="s">
        <v>160</v>
      </c>
      <c r="G98" s="13" t="s">
        <v>277</v>
      </c>
      <c r="H98" s="98">
        <f t="shared" si="57"/>
        <v>97646.869955047907</v>
      </c>
      <c r="J98" s="98">
        <f t="shared" ref="J98:K98" si="86" xml:space="preserve"> J29 * J58 * days_in_year / hundred</f>
        <v>0</v>
      </c>
      <c r="K98" s="98">
        <f t="shared" si="86"/>
        <v>0</v>
      </c>
      <c r="L98" s="98">
        <f t="shared" ref="L98:M98" si="87" xml:space="preserve"> L29 * L58 * days_in_year / hundred</f>
        <v>0</v>
      </c>
      <c r="M98" s="98">
        <f t="shared" si="87"/>
        <v>0</v>
      </c>
      <c r="N98" s="98">
        <f t="shared" ref="N98:P98" si="88" xml:space="preserve"> N29 * N58 * days_in_year / hundred</f>
        <v>97646.869955047907</v>
      </c>
      <c r="O98" s="98">
        <f t="shared" si="88"/>
        <v>0</v>
      </c>
      <c r="P98" s="98">
        <f t="shared" si="88"/>
        <v>0</v>
      </c>
      <c r="Q98" s="98">
        <f t="shared" ref="Q98:S98" si="89" xml:space="preserve"> Q29 * Q58 * days_in_year / hundred</f>
        <v>0</v>
      </c>
      <c r="R98" s="98">
        <f t="shared" si="89"/>
        <v>0</v>
      </c>
      <c r="S98" s="98">
        <f t="shared" si="89"/>
        <v>0</v>
      </c>
      <c r="T98" s="98">
        <f t="shared" ref="T98:U98" si="90" xml:space="preserve"> T29 * T58 * days_in_year / hundred</f>
        <v>0</v>
      </c>
      <c r="U98" s="98">
        <f t="shared" si="90"/>
        <v>0</v>
      </c>
      <c r="V98" s="98">
        <f t="shared" ref="V98:W98" si="91" xml:space="preserve"> V29 * V58 * days_in_year / hundred</f>
        <v>0</v>
      </c>
      <c r="W98" s="98">
        <f t="shared" si="91"/>
        <v>0</v>
      </c>
      <c r="X98" s="98">
        <f t="shared" ref="X98:Y98" si="92" xml:space="preserve"> X29 * X58 * days_in_year / hundred</f>
        <v>0</v>
      </c>
      <c r="Y98" s="98">
        <f t="shared" si="92"/>
        <v>0</v>
      </c>
    </row>
    <row r="99" spans="3:25" x14ac:dyDescent="0.25">
      <c r="E99" s="28"/>
      <c r="F99" t="s">
        <v>161</v>
      </c>
      <c r="G99" s="13" t="s">
        <v>277</v>
      </c>
      <c r="H99" s="98">
        <f t="shared" si="57"/>
        <v>521.39886856884436</v>
      </c>
      <c r="J99" s="98">
        <f t="shared" ref="J99:K99" si="93" xml:space="preserve"> J30 * J59 * days_in_year / hundred</f>
        <v>0</v>
      </c>
      <c r="K99" s="98">
        <f t="shared" si="93"/>
        <v>0</v>
      </c>
      <c r="L99" s="98">
        <f t="shared" ref="L99:M99" si="94" xml:space="preserve"> L30 * L59 * days_in_year / hundred</f>
        <v>0</v>
      </c>
      <c r="M99" s="98">
        <f t="shared" si="94"/>
        <v>0</v>
      </c>
      <c r="N99" s="98">
        <f t="shared" ref="N99:P99" si="95" xml:space="preserve"> N30 * N59 * days_in_year / hundred</f>
        <v>521.39886856884436</v>
      </c>
      <c r="O99" s="98">
        <f t="shared" si="95"/>
        <v>0</v>
      </c>
      <c r="P99" s="98">
        <f t="shared" si="95"/>
        <v>0</v>
      </c>
      <c r="Q99" s="98">
        <f t="shared" ref="Q99:S99" si="96" xml:space="preserve"> Q30 * Q59 * days_in_year / hundred</f>
        <v>0</v>
      </c>
      <c r="R99" s="98">
        <f t="shared" si="96"/>
        <v>0</v>
      </c>
      <c r="S99" s="98">
        <f t="shared" si="96"/>
        <v>0</v>
      </c>
      <c r="T99" s="98">
        <f t="shared" ref="T99:U99" si="97" xml:space="preserve"> T30 * T59 * days_in_year / hundred</f>
        <v>0</v>
      </c>
      <c r="U99" s="98">
        <f t="shared" si="97"/>
        <v>0</v>
      </c>
      <c r="V99" s="98">
        <f t="shared" ref="V99:W99" si="98" xml:space="preserve"> V30 * V59 * days_in_year / hundred</f>
        <v>0</v>
      </c>
      <c r="W99" s="98">
        <f t="shared" si="98"/>
        <v>0</v>
      </c>
      <c r="X99" s="98">
        <f t="shared" ref="X99:Y99" si="99" xml:space="preserve"> X30 * X59 * days_in_year / hundred</f>
        <v>0</v>
      </c>
      <c r="Y99" s="98">
        <f t="shared" si="99"/>
        <v>0</v>
      </c>
    </row>
    <row r="100" spans="3:25" x14ac:dyDescent="0.25">
      <c r="E100" s="28"/>
      <c r="F100" s="23" t="s">
        <v>162</v>
      </c>
      <c r="G100" s="85" t="s">
        <v>277</v>
      </c>
      <c r="H100" s="126">
        <f t="shared" si="57"/>
        <v>1169.0261407685684</v>
      </c>
      <c r="I100" s="23"/>
      <c r="J100" s="126">
        <f t="shared" ref="J100:K100" si="100">J31 * thousand * J60 / hundred</f>
        <v>0</v>
      </c>
      <c r="K100" s="126">
        <f t="shared" si="100"/>
        <v>0</v>
      </c>
      <c r="L100" s="126">
        <f t="shared" ref="L100:M100" si="101">L31 * thousand * L60 / hundred</f>
        <v>0</v>
      </c>
      <c r="M100" s="126">
        <f t="shared" si="101"/>
        <v>0</v>
      </c>
      <c r="N100" s="126">
        <f t="shared" ref="N100:P100" si="102">N31 * thousand * N60 / hundred</f>
        <v>1169.0261407685684</v>
      </c>
      <c r="O100" s="126">
        <f t="shared" si="102"/>
        <v>0</v>
      </c>
      <c r="P100" s="126">
        <f t="shared" si="102"/>
        <v>0</v>
      </c>
      <c r="Q100" s="126">
        <f t="shared" ref="Q100:S100" si="103">Q31 * thousand * Q60 / hundred</f>
        <v>0</v>
      </c>
      <c r="R100" s="126">
        <f t="shared" si="103"/>
        <v>0</v>
      </c>
      <c r="S100" s="126">
        <f t="shared" si="103"/>
        <v>0</v>
      </c>
      <c r="T100" s="126">
        <f t="shared" ref="T100:U100" si="104">T31 * thousand * T60 / hundred</f>
        <v>0</v>
      </c>
      <c r="U100" s="126">
        <f t="shared" si="104"/>
        <v>0</v>
      </c>
      <c r="V100" s="126">
        <f t="shared" ref="V100:W100" si="105">V31 * thousand * V60 / hundred</f>
        <v>0</v>
      </c>
      <c r="W100" s="126">
        <f t="shared" si="105"/>
        <v>0</v>
      </c>
      <c r="X100" s="126">
        <f t="shared" ref="X100:Y100" si="106">X31 * thousand * X60 / hundred</f>
        <v>0</v>
      </c>
      <c r="Y100" s="126">
        <f t="shared" si="106"/>
        <v>0</v>
      </c>
    </row>
    <row r="101" spans="3:25" x14ac:dyDescent="0.25">
      <c r="E101" s="28"/>
      <c r="F101" s="108" t="s">
        <v>100</v>
      </c>
      <c r="G101" s="218" t="s">
        <v>277</v>
      </c>
      <c r="H101" s="153">
        <f>SUM(H94:H100)</f>
        <v>2392451.3142582425</v>
      </c>
      <c r="I101" s="108"/>
      <c r="J101" s="153">
        <f t="shared" ref="J101:K101" si="107">SUM(J94:J100)</f>
        <v>2014762.2675143837</v>
      </c>
      <c r="K101" s="153">
        <f t="shared" si="107"/>
        <v>0</v>
      </c>
      <c r="L101" s="153">
        <f t="shared" ref="L101:M101" si="108">SUM(L94:L100)</f>
        <v>72570.969866543601</v>
      </c>
      <c r="M101" s="153">
        <f t="shared" si="108"/>
        <v>0</v>
      </c>
      <c r="N101" s="153">
        <f t="shared" ref="N101:P101" si="109">SUM(N94:N100)</f>
        <v>298470.73374111846</v>
      </c>
      <c r="O101" s="153">
        <f t="shared" si="109"/>
        <v>0</v>
      </c>
      <c r="P101" s="153">
        <f t="shared" si="109"/>
        <v>0</v>
      </c>
      <c r="Q101" s="153">
        <f t="shared" ref="Q101:S101" si="110">SUM(Q94:Q100)</f>
        <v>6785.7071209877613</v>
      </c>
      <c r="R101" s="153">
        <f t="shared" si="110"/>
        <v>-138.36398479112017</v>
      </c>
      <c r="S101" s="153">
        <f t="shared" si="110"/>
        <v>0</v>
      </c>
      <c r="T101" s="153">
        <f t="shared" ref="T101:U101" si="111">SUM(T94:T100)</f>
        <v>0</v>
      </c>
      <c r="U101" s="153">
        <f t="shared" si="111"/>
        <v>0</v>
      </c>
      <c r="V101" s="153">
        <f t="shared" ref="V101:W101" si="112">SUM(V94:V100)</f>
        <v>0</v>
      </c>
      <c r="W101" s="153">
        <f t="shared" si="112"/>
        <v>0</v>
      </c>
      <c r="X101" s="153">
        <f t="shared" ref="X101:Y101" si="113">SUM(X94:X100)</f>
        <v>0</v>
      </c>
      <c r="Y101" s="153">
        <f t="shared" si="113"/>
        <v>0</v>
      </c>
    </row>
    <row r="102" spans="3:25" x14ac:dyDescent="0.25">
      <c r="E102" s="28"/>
      <c r="G102" s="13"/>
      <c r="H102" s="89"/>
      <c r="J102" s="89"/>
      <c r="K102" s="89"/>
      <c r="L102" s="89"/>
      <c r="M102" s="89"/>
      <c r="N102" s="89"/>
      <c r="O102" s="89"/>
      <c r="P102" s="89"/>
      <c r="Q102" s="89"/>
      <c r="R102" s="89"/>
      <c r="S102" s="89"/>
      <c r="T102" s="89"/>
      <c r="U102" s="89"/>
      <c r="V102" s="89"/>
      <c r="W102" s="89"/>
      <c r="X102" s="89"/>
      <c r="Y102" s="89"/>
    </row>
    <row r="103" spans="3:25" x14ac:dyDescent="0.25">
      <c r="E103" s="32" t="s">
        <v>877</v>
      </c>
      <c r="G103" s="13"/>
      <c r="H103" s="217" t="s">
        <v>545</v>
      </c>
      <c r="J103" s="89"/>
      <c r="K103" s="89"/>
      <c r="L103" s="89"/>
      <c r="M103" s="89"/>
      <c r="N103" s="89"/>
      <c r="O103" s="89"/>
      <c r="P103" s="89"/>
      <c r="Q103" s="89"/>
      <c r="R103" s="89"/>
      <c r="S103" s="89"/>
      <c r="T103" s="89"/>
      <c r="U103" s="89"/>
      <c r="V103" s="89"/>
      <c r="W103" s="89"/>
      <c r="X103" s="89"/>
      <c r="Y103" s="89"/>
    </row>
    <row r="104" spans="3:25" x14ac:dyDescent="0.25">
      <c r="C104" s="88"/>
      <c r="F104" s="23" t="s">
        <v>156</v>
      </c>
      <c r="G104" s="85" t="s">
        <v>277</v>
      </c>
      <c r="H104" s="126">
        <f t="shared" ref="H104:H110" si="114">SUM(J104:Y104)</f>
        <v>2333168.44059281</v>
      </c>
      <c r="I104" s="23"/>
      <c r="J104" s="126">
        <f t="shared" ref="J104:K104" si="115">J34 * thousand * J63 / hundred</f>
        <v>1366848.7630946585</v>
      </c>
      <c r="K104" s="126">
        <f t="shared" si="115"/>
        <v>0</v>
      </c>
      <c r="L104" s="126">
        <f t="shared" ref="L104:M104" si="116">L34 * thousand * L63 / hundred</f>
        <v>95896.160133045894</v>
      </c>
      <c r="M104" s="126">
        <f t="shared" si="116"/>
        <v>0</v>
      </c>
      <c r="N104" s="126">
        <f t="shared" ref="N104:P104" si="117">N34 * thousand * N63 / hundred</f>
        <v>529681.49318283761</v>
      </c>
      <c r="O104" s="126">
        <f t="shared" si="117"/>
        <v>77582.524101315779</v>
      </c>
      <c r="P104" s="126">
        <f t="shared" si="117"/>
        <v>261079.66258317383</v>
      </c>
      <c r="Q104" s="126">
        <f t="shared" ref="Q104:S104" si="118">Q34 * thousand * Q63 / hundred</f>
        <v>2418.5645093969479</v>
      </c>
      <c r="R104" s="126">
        <f t="shared" si="118"/>
        <v>0</v>
      </c>
      <c r="S104" s="126">
        <f t="shared" si="118"/>
        <v>0</v>
      </c>
      <c r="T104" s="126">
        <f t="shared" ref="T104:U104" si="119">T34 * thousand * T63 / hundred</f>
        <v>-338.72701161878217</v>
      </c>
      <c r="U104" s="126">
        <f t="shared" si="119"/>
        <v>0</v>
      </c>
      <c r="V104" s="126">
        <f t="shared" ref="V104:W104" si="120">V34 * thousand * V63 / hundred</f>
        <v>0</v>
      </c>
      <c r="W104" s="126">
        <f t="shared" si="120"/>
        <v>0</v>
      </c>
      <c r="X104" s="126">
        <f t="shared" ref="X104:Y104" si="121">X34 * thousand * X63 / hundred</f>
        <v>0</v>
      </c>
      <c r="Y104" s="126">
        <f t="shared" si="121"/>
        <v>0</v>
      </c>
    </row>
    <row r="105" spans="3:25" x14ac:dyDescent="0.25">
      <c r="C105" s="88"/>
      <c r="F105" t="s">
        <v>157</v>
      </c>
      <c r="G105" s="13" t="s">
        <v>277</v>
      </c>
      <c r="H105" s="98">
        <f t="shared" si="114"/>
        <v>1857949.0825171706</v>
      </c>
      <c r="J105" s="98">
        <f t="shared" ref="J105:K105" si="122">J35 * thousand * J64 / hundred</f>
        <v>837860.08893707453</v>
      </c>
      <c r="K105" s="98">
        <f t="shared" si="122"/>
        <v>0</v>
      </c>
      <c r="L105" s="98">
        <f t="shared" ref="L105:M105" si="123">L35 * thousand * L64 / hundred</f>
        <v>92837.341433311987</v>
      </c>
      <c r="M105" s="98">
        <f t="shared" si="123"/>
        <v>0</v>
      </c>
      <c r="N105" s="98">
        <f t="shared" ref="N105:P105" si="124">N35 * thousand * N64 / hundred</f>
        <v>499105.28587184218</v>
      </c>
      <c r="O105" s="98">
        <f t="shared" si="124"/>
        <v>88732.492928039137</v>
      </c>
      <c r="P105" s="98">
        <f t="shared" si="124"/>
        <v>335959.167131152</v>
      </c>
      <c r="Q105" s="98">
        <f t="shared" ref="Q105:S105" si="125">Q35 * thousand * Q64 / hundred</f>
        <v>3688.1387616751804</v>
      </c>
      <c r="R105" s="98">
        <f t="shared" si="125"/>
        <v>0</v>
      </c>
      <c r="S105" s="98">
        <f t="shared" si="125"/>
        <v>0</v>
      </c>
      <c r="T105" s="98">
        <f t="shared" ref="T105:U105" si="126">T35 * thousand * T64 / hundred</f>
        <v>-233.43254592441394</v>
      </c>
      <c r="U105" s="98">
        <f t="shared" si="126"/>
        <v>0</v>
      </c>
      <c r="V105" s="98">
        <f t="shared" ref="V105:W105" si="127">V35 * thousand * V64 / hundred</f>
        <v>0</v>
      </c>
      <c r="W105" s="98">
        <f t="shared" si="127"/>
        <v>0</v>
      </c>
      <c r="X105" s="98">
        <f t="shared" ref="X105:Y105" si="128">X35 * thousand * X64 / hundred</f>
        <v>0</v>
      </c>
      <c r="Y105" s="98">
        <f t="shared" si="128"/>
        <v>0</v>
      </c>
    </row>
    <row r="106" spans="3:25" x14ac:dyDescent="0.25">
      <c r="C106" s="88"/>
      <c r="F106" t="s">
        <v>158</v>
      </c>
      <c r="G106" s="13" t="s">
        <v>277</v>
      </c>
      <c r="H106" s="98">
        <f t="shared" si="114"/>
        <v>1591827.2053099477</v>
      </c>
      <c r="J106" s="98">
        <f t="shared" ref="J106:K106" si="129">J36 * thousand * J65 / hundred</f>
        <v>631790.89313950855</v>
      </c>
      <c r="K106" s="98">
        <f t="shared" si="129"/>
        <v>0</v>
      </c>
      <c r="L106" s="98">
        <f t="shared" ref="L106:M106" si="130">L36 * thousand * L65 / hundred</f>
        <v>44769.360487030208</v>
      </c>
      <c r="M106" s="98">
        <f t="shared" si="130"/>
        <v>0</v>
      </c>
      <c r="N106" s="98">
        <f t="shared" ref="N106:P106" si="131">N36 * thousand * N65 / hundred</f>
        <v>382263.5207795272</v>
      </c>
      <c r="O106" s="98">
        <f t="shared" si="131"/>
        <v>93543.256791946944</v>
      </c>
      <c r="P106" s="98">
        <f t="shared" si="131"/>
        <v>434853.18946610222</v>
      </c>
      <c r="Q106" s="98">
        <f t="shared" ref="Q106:S106" si="132">Q36 * thousand * Q65 / hundred</f>
        <v>4634.2386296514587</v>
      </c>
      <c r="R106" s="98">
        <f t="shared" si="132"/>
        <v>0</v>
      </c>
      <c r="S106" s="98">
        <f t="shared" si="132"/>
        <v>0</v>
      </c>
      <c r="T106" s="98">
        <f t="shared" ref="T106:U106" si="133">T36 * thousand * T65 / hundred</f>
        <v>-27.253983818860618</v>
      </c>
      <c r="U106" s="98">
        <f t="shared" si="133"/>
        <v>0</v>
      </c>
      <c r="V106" s="98">
        <f t="shared" ref="V106:W106" si="134">V36 * thousand * V65 / hundred</f>
        <v>0</v>
      </c>
      <c r="W106" s="98">
        <f t="shared" si="134"/>
        <v>0</v>
      </c>
      <c r="X106" s="98">
        <f t="shared" ref="X106:Y106" si="135">X36 * thousand * X65 / hundred</f>
        <v>0</v>
      </c>
      <c r="Y106" s="98">
        <f t="shared" si="135"/>
        <v>0</v>
      </c>
    </row>
    <row r="107" spans="3:25" x14ac:dyDescent="0.25">
      <c r="C107" s="88"/>
      <c r="F107" s="23" t="s">
        <v>159</v>
      </c>
      <c r="G107" s="85" t="s">
        <v>277</v>
      </c>
      <c r="H107" s="126">
        <f t="shared" si="114"/>
        <v>715288.55515453918</v>
      </c>
      <c r="I107" s="23"/>
      <c r="J107" s="126">
        <f t="shared" ref="J107:K107" si="136" xml:space="preserve"> J37 * J66 * days_in_year / hundred</f>
        <v>660909.34932814888</v>
      </c>
      <c r="K107" s="126">
        <f t="shared" si="136"/>
        <v>0</v>
      </c>
      <c r="L107" s="126">
        <f t="shared" ref="L107:M107" si="137" xml:space="preserve"> L37 * L66 * days_in_year / hundred</f>
        <v>30623.099889786386</v>
      </c>
      <c r="M107" s="126">
        <f t="shared" si="137"/>
        <v>0</v>
      </c>
      <c r="N107" s="126">
        <f t="shared" ref="N107:P107" si="138" xml:space="preserve"> N37 * N66 * days_in_year / hundred</f>
        <v>10794.674128842449</v>
      </c>
      <c r="O107" s="126">
        <f t="shared" si="138"/>
        <v>707.44723281457084</v>
      </c>
      <c r="P107" s="126">
        <f t="shared" si="138"/>
        <v>12253.98457494695</v>
      </c>
      <c r="Q107" s="126">
        <f t="shared" ref="Q107:S107" si="139" xml:space="preserve"> Q37 * Q66 * days_in_year / hundred</f>
        <v>0</v>
      </c>
      <c r="R107" s="126">
        <f t="shared" si="139"/>
        <v>0</v>
      </c>
      <c r="S107" s="126">
        <f t="shared" si="139"/>
        <v>0</v>
      </c>
      <c r="T107" s="126">
        <f t="shared" ref="T107:U107" si="140" xml:space="preserve"> T37 * T66 * days_in_year / hundred</f>
        <v>0</v>
      </c>
      <c r="U107" s="126">
        <f t="shared" si="140"/>
        <v>0</v>
      </c>
      <c r="V107" s="126">
        <f t="shared" ref="V107:W107" si="141" xml:space="preserve"> V37 * V66 * days_in_year / hundred</f>
        <v>0</v>
      </c>
      <c r="W107" s="126">
        <f t="shared" si="141"/>
        <v>0</v>
      </c>
      <c r="X107" s="126">
        <f t="shared" ref="X107:Y107" si="142" xml:space="preserve"> X37 * X66 * days_in_year / hundred</f>
        <v>0</v>
      </c>
      <c r="Y107" s="126">
        <f t="shared" si="142"/>
        <v>0</v>
      </c>
    </row>
    <row r="108" spans="3:25" x14ac:dyDescent="0.25">
      <c r="C108" s="88"/>
      <c r="F108" t="s">
        <v>160</v>
      </c>
      <c r="G108" s="13" t="s">
        <v>277</v>
      </c>
      <c r="H108" s="98">
        <f t="shared" si="114"/>
        <v>1911480.928919048</v>
      </c>
      <c r="J108" s="98">
        <f t="shared" ref="J108:K108" si="143" xml:space="preserve"> J38 * J67 * days_in_year / hundred</f>
        <v>0</v>
      </c>
      <c r="K108" s="98">
        <f t="shared" si="143"/>
        <v>0</v>
      </c>
      <c r="L108" s="98">
        <f t="shared" ref="L108:M108" si="144" xml:space="preserve"> L38 * L67 * days_in_year / hundred</f>
        <v>0</v>
      </c>
      <c r="M108" s="98">
        <f t="shared" si="144"/>
        <v>0</v>
      </c>
      <c r="N108" s="98">
        <f t="shared" ref="N108:P108" si="145" xml:space="preserve"> N38 * N67 * days_in_year / hundred</f>
        <v>742134.80660657724</v>
      </c>
      <c r="O108" s="98">
        <f t="shared" si="145"/>
        <v>195340.84924474385</v>
      </c>
      <c r="P108" s="98">
        <f t="shared" si="145"/>
        <v>974005.2730677271</v>
      </c>
      <c r="Q108" s="98">
        <f t="shared" ref="Q108:S108" si="146" xml:space="preserve"> Q38 * Q67 * days_in_year / hundred</f>
        <v>0</v>
      </c>
      <c r="R108" s="98">
        <f t="shared" si="146"/>
        <v>0</v>
      </c>
      <c r="S108" s="98">
        <f t="shared" si="146"/>
        <v>0</v>
      </c>
      <c r="T108" s="98">
        <f t="shared" ref="T108:U108" si="147" xml:space="preserve"> T38 * T67 * days_in_year / hundred</f>
        <v>0</v>
      </c>
      <c r="U108" s="98">
        <f t="shared" si="147"/>
        <v>0</v>
      </c>
      <c r="V108" s="98">
        <f t="shared" ref="V108:W108" si="148" xml:space="preserve"> V38 * V67 * days_in_year / hundred</f>
        <v>0</v>
      </c>
      <c r="W108" s="98">
        <f t="shared" si="148"/>
        <v>0</v>
      </c>
      <c r="X108" s="98">
        <f t="shared" ref="X108:Y108" si="149" xml:space="preserve"> X38 * X67 * days_in_year / hundred</f>
        <v>0</v>
      </c>
      <c r="Y108" s="98">
        <f t="shared" si="149"/>
        <v>0</v>
      </c>
    </row>
    <row r="109" spans="3:25" x14ac:dyDescent="0.25">
      <c r="C109" s="88"/>
      <c r="F109" t="s">
        <v>161</v>
      </c>
      <c r="G109" s="13" t="s">
        <v>277</v>
      </c>
      <c r="H109" s="98">
        <f t="shared" si="114"/>
        <v>6821.6368802111911</v>
      </c>
      <c r="J109" s="98">
        <f t="shared" ref="J109:K109" si="150" xml:space="preserve"> J39 * J68 * days_in_year / hundred</f>
        <v>0</v>
      </c>
      <c r="K109" s="98">
        <f t="shared" si="150"/>
        <v>0</v>
      </c>
      <c r="L109" s="98">
        <f t="shared" ref="L109:M109" si="151" xml:space="preserve"> L39 * L68 * days_in_year / hundred</f>
        <v>0</v>
      </c>
      <c r="M109" s="98">
        <f t="shared" si="151"/>
        <v>0</v>
      </c>
      <c r="N109" s="98">
        <f t="shared" ref="N109:P109" si="152" xml:space="preserve"> N39 * N68 * days_in_year / hundred</f>
        <v>4594.3233953519848</v>
      </c>
      <c r="O109" s="98">
        <f t="shared" si="152"/>
        <v>1282.8930696689849</v>
      </c>
      <c r="P109" s="98">
        <f t="shared" si="152"/>
        <v>944.42041519022098</v>
      </c>
      <c r="Q109" s="98">
        <f t="shared" ref="Q109:S109" si="153" xml:space="preserve"> Q39 * Q68 * days_in_year / hundred</f>
        <v>0</v>
      </c>
      <c r="R109" s="98">
        <f t="shared" si="153"/>
        <v>0</v>
      </c>
      <c r="S109" s="98">
        <f t="shared" si="153"/>
        <v>0</v>
      </c>
      <c r="T109" s="98">
        <f t="shared" ref="T109:U109" si="154" xml:space="preserve"> T39 * T68 * days_in_year / hundred</f>
        <v>0</v>
      </c>
      <c r="U109" s="98">
        <f t="shared" si="154"/>
        <v>0</v>
      </c>
      <c r="V109" s="98">
        <f t="shared" ref="V109:W109" si="155" xml:space="preserve"> V39 * V68 * days_in_year / hundred</f>
        <v>0</v>
      </c>
      <c r="W109" s="98">
        <f t="shared" si="155"/>
        <v>0</v>
      </c>
      <c r="X109" s="98">
        <f t="shared" ref="X109:Y109" si="156" xml:space="preserve"> X39 * X68 * days_in_year / hundred</f>
        <v>0</v>
      </c>
      <c r="Y109" s="98">
        <f t="shared" si="156"/>
        <v>0</v>
      </c>
    </row>
    <row r="110" spans="3:25" x14ac:dyDescent="0.25">
      <c r="C110" s="88"/>
      <c r="F110" s="23" t="s">
        <v>162</v>
      </c>
      <c r="G110" s="85" t="s">
        <v>277</v>
      </c>
      <c r="H110" s="126">
        <f t="shared" si="114"/>
        <v>12284.714010739419</v>
      </c>
      <c r="I110" s="23"/>
      <c r="J110" s="126">
        <f t="shared" ref="J110:K110" si="157">J40 * thousand * J69 / hundred</f>
        <v>0</v>
      </c>
      <c r="K110" s="126">
        <f t="shared" si="157"/>
        <v>0</v>
      </c>
      <c r="L110" s="126">
        <f t="shared" ref="L110:M110" si="158">L40 * thousand * L69 / hundred</f>
        <v>0</v>
      </c>
      <c r="M110" s="126">
        <f t="shared" si="158"/>
        <v>0</v>
      </c>
      <c r="N110" s="126">
        <f t="shared" ref="N110:P110" si="159">N40 * thousand * N69 / hundred</f>
        <v>9150.5552209968755</v>
      </c>
      <c r="O110" s="126">
        <f t="shared" si="159"/>
        <v>1577.2783663867822</v>
      </c>
      <c r="P110" s="126">
        <f t="shared" si="159"/>
        <v>1474.383944855434</v>
      </c>
      <c r="Q110" s="126">
        <f t="shared" ref="Q110:S110" si="160">Q40 * thousand * Q69 / hundred</f>
        <v>0</v>
      </c>
      <c r="R110" s="126">
        <f t="shared" si="160"/>
        <v>0</v>
      </c>
      <c r="S110" s="126">
        <f t="shared" si="160"/>
        <v>0</v>
      </c>
      <c r="T110" s="126">
        <f t="shared" ref="T110:U110" si="161">T40 * thousand * T69 / hundred</f>
        <v>82.496478500327527</v>
      </c>
      <c r="U110" s="126">
        <f t="shared" si="161"/>
        <v>0</v>
      </c>
      <c r="V110" s="126">
        <f t="shared" ref="V110:W110" si="162">V40 * thousand * V69 / hundred</f>
        <v>0</v>
      </c>
      <c r="W110" s="126">
        <f t="shared" si="162"/>
        <v>0</v>
      </c>
      <c r="X110" s="126">
        <f t="shared" ref="X110:Y110" si="163">X40 * thousand * X69 / hundred</f>
        <v>0</v>
      </c>
      <c r="Y110" s="126">
        <f t="shared" si="163"/>
        <v>0</v>
      </c>
    </row>
    <row r="111" spans="3:25" x14ac:dyDescent="0.25">
      <c r="C111" s="88"/>
      <c r="F111" s="108" t="s">
        <v>100</v>
      </c>
      <c r="G111" s="218" t="s">
        <v>277</v>
      </c>
      <c r="H111" s="153">
        <f>SUM(H104:H110)</f>
        <v>8428820.5633844677</v>
      </c>
      <c r="I111" s="108"/>
      <c r="J111" s="153">
        <f t="shared" ref="J111:K111" si="164">SUM(J104:J110)</f>
        <v>3497409.0944993906</v>
      </c>
      <c r="K111" s="153">
        <f t="shared" si="164"/>
        <v>0</v>
      </c>
      <c r="L111" s="153">
        <f t="shared" ref="L111:M111" si="165">SUM(L104:L110)</f>
        <v>264125.96194317448</v>
      </c>
      <c r="M111" s="153">
        <f t="shared" si="165"/>
        <v>0</v>
      </c>
      <c r="N111" s="153">
        <f t="shared" ref="N111:P111" si="166">SUM(N104:N110)</f>
        <v>2177724.6591859758</v>
      </c>
      <c r="O111" s="153">
        <f t="shared" si="166"/>
        <v>458766.74173491605</v>
      </c>
      <c r="P111" s="153">
        <f t="shared" si="166"/>
        <v>2020570.0811831478</v>
      </c>
      <c r="Q111" s="153">
        <f t="shared" ref="Q111:S111" si="167">SUM(Q104:Q110)</f>
        <v>10740.941900723588</v>
      </c>
      <c r="R111" s="153">
        <f t="shared" si="167"/>
        <v>0</v>
      </c>
      <c r="S111" s="153">
        <f t="shared" si="167"/>
        <v>0</v>
      </c>
      <c r="T111" s="153">
        <f t="shared" ref="T111:U111" si="168">SUM(T104:T110)</f>
        <v>-516.91706286172928</v>
      </c>
      <c r="U111" s="153">
        <f t="shared" si="168"/>
        <v>0</v>
      </c>
      <c r="V111" s="153">
        <f t="shared" ref="V111:W111" si="169">SUM(V104:V110)</f>
        <v>0</v>
      </c>
      <c r="W111" s="153">
        <f t="shared" si="169"/>
        <v>0</v>
      </c>
      <c r="X111" s="153">
        <f t="shared" ref="X111:Y111" si="170">SUM(X104:X110)</f>
        <v>0</v>
      </c>
      <c r="Y111" s="153">
        <f t="shared" si="170"/>
        <v>0</v>
      </c>
    </row>
    <row r="112" spans="3:25" x14ac:dyDescent="0.25">
      <c r="C112" s="88"/>
      <c r="D112" s="2"/>
      <c r="E112" s="2"/>
      <c r="G112" s="13"/>
      <c r="H112" s="89"/>
      <c r="J112" s="89"/>
      <c r="K112" s="89"/>
      <c r="L112" s="89"/>
      <c r="M112" s="89"/>
      <c r="N112" s="89"/>
      <c r="O112" s="89"/>
      <c r="P112" s="89"/>
      <c r="Q112" s="89"/>
      <c r="R112" s="89"/>
      <c r="S112" s="89"/>
      <c r="T112" s="89"/>
      <c r="U112" s="89"/>
      <c r="V112" s="89"/>
      <c r="W112" s="89"/>
      <c r="X112" s="89"/>
      <c r="Y112" s="89"/>
    </row>
    <row r="113" spans="3:27" x14ac:dyDescent="0.25">
      <c r="C113" s="31" t="str">
        <f ca="1">INDEX('Version control'!$H$34:$H$57,MATCH($A$1,'Version control'!$F$34:$F$57,0),1)&amp;"-E: Net revenue summary (for information only)"</f>
        <v>Section 118-E: Net revenue summary (for information only)</v>
      </c>
      <c r="D113" s="31"/>
      <c r="E113" s="31"/>
      <c r="F113" s="31"/>
      <c r="G113" s="31"/>
      <c r="H113" s="90"/>
      <c r="I113" s="31"/>
      <c r="J113" s="90"/>
      <c r="K113" s="90"/>
      <c r="L113" s="90"/>
      <c r="M113" s="90"/>
      <c r="N113" s="90"/>
      <c r="O113" s="90"/>
      <c r="P113" s="90"/>
      <c r="Q113" s="90"/>
      <c r="R113" s="90"/>
      <c r="S113" s="90"/>
      <c r="T113" s="90"/>
      <c r="U113" s="90"/>
      <c r="V113" s="90"/>
      <c r="W113" s="90"/>
      <c r="X113" s="90"/>
      <c r="Y113" s="90"/>
      <c r="Z113" s="31"/>
      <c r="AA113" s="31"/>
    </row>
    <row r="114" spans="3:27" x14ac:dyDescent="0.25">
      <c r="F114" s="3"/>
      <c r="G114" s="216"/>
      <c r="H114" s="127"/>
      <c r="I114" s="3"/>
      <c r="J114" s="89"/>
      <c r="K114" s="89"/>
      <c r="L114" s="89"/>
      <c r="M114" s="89"/>
      <c r="N114" s="89"/>
      <c r="O114" s="89"/>
      <c r="P114" s="89"/>
      <c r="Q114" s="89"/>
      <c r="R114" s="89"/>
      <c r="S114" s="89"/>
      <c r="T114" s="89"/>
      <c r="U114" s="89"/>
      <c r="V114" s="89"/>
      <c r="W114" s="89"/>
      <c r="X114" s="89"/>
      <c r="Y114" s="89"/>
    </row>
    <row r="115" spans="3:27" x14ac:dyDescent="0.25">
      <c r="E115" t="s">
        <v>738</v>
      </c>
      <c r="G115" s="13" t="s">
        <v>277</v>
      </c>
      <c r="H115" s="219">
        <f>H73</f>
        <v>502143793.88204896</v>
      </c>
      <c r="J115" s="199"/>
      <c r="K115" s="199"/>
      <c r="L115" s="199"/>
      <c r="M115" s="199"/>
      <c r="N115" s="199"/>
      <c r="O115" s="199"/>
      <c r="P115" s="199"/>
      <c r="Q115" s="199"/>
      <c r="R115" s="199"/>
      <c r="S115" s="199"/>
      <c r="T115" s="199"/>
      <c r="U115" s="199"/>
      <c r="V115" s="199"/>
      <c r="W115" s="199"/>
      <c r="X115" s="199"/>
      <c r="Y115" s="199"/>
    </row>
    <row r="116" spans="3:27" x14ac:dyDescent="0.25">
      <c r="E116" t="s">
        <v>878</v>
      </c>
      <c r="G116" s="13" t="s">
        <v>277</v>
      </c>
      <c r="H116" s="219">
        <f t="shared" ref="H116:H119" si="171">H74</f>
        <v>299471086.2115941</v>
      </c>
      <c r="J116" s="199"/>
      <c r="K116" s="199"/>
      <c r="L116" s="199"/>
      <c r="M116" s="199"/>
      <c r="N116" s="199"/>
      <c r="O116" s="199"/>
      <c r="P116" s="199"/>
      <c r="Q116" s="199"/>
      <c r="R116" s="199"/>
      <c r="S116" s="199"/>
      <c r="T116" s="199"/>
      <c r="U116" s="199"/>
      <c r="V116" s="199"/>
      <c r="W116" s="199"/>
      <c r="X116" s="199"/>
      <c r="Y116" s="199"/>
    </row>
    <row r="117" spans="3:27" x14ac:dyDescent="0.25">
      <c r="E117" t="s">
        <v>1055</v>
      </c>
      <c r="G117" s="13" t="s">
        <v>277</v>
      </c>
      <c r="H117" s="219">
        <f t="shared" si="171"/>
        <v>200977339.28342551</v>
      </c>
      <c r="J117" s="199"/>
      <c r="K117" s="199"/>
      <c r="L117" s="199"/>
      <c r="M117" s="199"/>
      <c r="N117" s="199"/>
      <c r="O117" s="199"/>
      <c r="P117" s="199"/>
      <c r="Q117" s="199"/>
      <c r="R117" s="199"/>
      <c r="S117" s="199"/>
      <c r="T117" s="199"/>
      <c r="U117" s="199"/>
      <c r="V117" s="199"/>
      <c r="W117" s="199"/>
      <c r="X117" s="199"/>
      <c r="Y117" s="199"/>
    </row>
    <row r="118" spans="3:27" x14ac:dyDescent="0.25">
      <c r="E118" t="s">
        <v>1056</v>
      </c>
      <c r="G118" s="13" t="s">
        <v>277</v>
      </c>
      <c r="H118" s="219">
        <f t="shared" si="171"/>
        <v>1693771.1377956164</v>
      </c>
      <c r="J118" s="199"/>
      <c r="K118" s="199"/>
      <c r="L118" s="199"/>
      <c r="M118" s="199"/>
      <c r="N118" s="199"/>
      <c r="O118" s="199"/>
      <c r="P118" s="199"/>
      <c r="Q118" s="199"/>
      <c r="R118" s="199"/>
      <c r="S118" s="199"/>
      <c r="T118" s="199"/>
      <c r="U118" s="199"/>
      <c r="V118" s="199"/>
      <c r="W118" s="199"/>
      <c r="X118" s="199"/>
      <c r="Y118" s="199"/>
    </row>
    <row r="119" spans="3:27" x14ac:dyDescent="0.25">
      <c r="E119" t="s">
        <v>1057</v>
      </c>
      <c r="G119" s="13" t="s">
        <v>277</v>
      </c>
      <c r="H119" s="219">
        <f t="shared" si="171"/>
        <v>1597.2492336997443</v>
      </c>
      <c r="J119" s="199"/>
      <c r="K119" s="199"/>
      <c r="L119" s="199"/>
      <c r="M119" s="199"/>
      <c r="N119" s="199"/>
      <c r="O119" s="199"/>
      <c r="P119" s="199"/>
      <c r="Q119" s="199"/>
      <c r="R119" s="199"/>
      <c r="S119" s="199"/>
      <c r="T119" s="199"/>
      <c r="U119" s="199"/>
      <c r="V119" s="199"/>
      <c r="W119" s="199"/>
      <c r="X119" s="199"/>
      <c r="Y119" s="199"/>
    </row>
    <row r="120" spans="3:27" x14ac:dyDescent="0.25">
      <c r="E120" t="s">
        <v>879</v>
      </c>
      <c r="G120" s="13" t="s">
        <v>277</v>
      </c>
      <c r="H120" s="219">
        <f>SUM(H91,H101,H111) - SUM(H116:H118)</f>
        <v>5857.8186105489731</v>
      </c>
      <c r="J120" s="199"/>
      <c r="K120" s="199"/>
      <c r="L120" s="199"/>
      <c r="M120" s="199"/>
      <c r="N120" s="199"/>
      <c r="O120" s="199"/>
      <c r="P120" s="199"/>
      <c r="Q120" s="199"/>
      <c r="R120" s="199"/>
      <c r="S120" s="199"/>
      <c r="T120" s="199"/>
      <c r="U120" s="199"/>
      <c r="V120" s="199"/>
      <c r="W120" s="199"/>
      <c r="X120" s="199"/>
      <c r="Y120" s="199"/>
    </row>
    <row r="121" spans="3:27" x14ac:dyDescent="0.25">
      <c r="E121" s="108" t="s">
        <v>880</v>
      </c>
      <c r="F121" s="108"/>
      <c r="G121" s="218" t="s">
        <v>277</v>
      </c>
      <c r="H121" s="220">
        <f>SUM(H116:H120)</f>
        <v>502149651.70065951</v>
      </c>
      <c r="J121" s="199"/>
      <c r="K121" s="199"/>
      <c r="L121" s="199"/>
      <c r="M121" s="199"/>
      <c r="N121" s="199"/>
      <c r="O121" s="199"/>
      <c r="P121" s="199"/>
      <c r="Q121" s="199"/>
      <c r="R121" s="199"/>
      <c r="S121" s="199"/>
      <c r="T121" s="199"/>
      <c r="U121" s="199"/>
      <c r="V121" s="199"/>
      <c r="W121" s="199"/>
      <c r="X121" s="199"/>
      <c r="Y121" s="199"/>
    </row>
    <row r="122" spans="3:27" x14ac:dyDescent="0.25">
      <c r="G122" s="13"/>
      <c r="H122" s="199"/>
      <c r="J122" s="199"/>
      <c r="K122" s="199"/>
      <c r="L122" s="199"/>
      <c r="M122" s="199"/>
      <c r="N122" s="199"/>
      <c r="O122" s="199"/>
      <c r="P122" s="199"/>
      <c r="Q122" s="199"/>
      <c r="R122" s="199"/>
      <c r="S122" s="199"/>
      <c r="T122" s="199"/>
      <c r="U122" s="199"/>
      <c r="V122" s="199"/>
      <c r="W122" s="199"/>
      <c r="X122" s="199"/>
      <c r="Y122" s="199"/>
    </row>
    <row r="123" spans="3:27" x14ac:dyDescent="0.25">
      <c r="E123" t="s">
        <v>881</v>
      </c>
      <c r="G123" s="13" t="s">
        <v>277</v>
      </c>
      <c r="H123" s="328">
        <f>H121 - H115</f>
        <v>5857.8186105489731</v>
      </c>
      <c r="J123" s="199"/>
      <c r="K123" s="199"/>
      <c r="L123" s="199"/>
      <c r="M123" s="199"/>
      <c r="N123" s="199"/>
      <c r="O123" s="199"/>
      <c r="P123" s="199"/>
      <c r="Q123" s="199"/>
      <c r="R123" s="199"/>
      <c r="S123" s="199"/>
      <c r="T123" s="199"/>
      <c r="U123" s="199"/>
      <c r="V123" s="199"/>
      <c r="W123" s="199"/>
      <c r="X123" s="199"/>
      <c r="Y123" s="199"/>
    </row>
    <row r="124" spans="3:27" x14ac:dyDescent="0.25">
      <c r="E124" t="s">
        <v>881</v>
      </c>
      <c r="G124" s="13" t="s">
        <v>167</v>
      </c>
      <c r="H124" s="329">
        <f>(H121 - H115) / H115</f>
        <v>1.166561985215921E-5</v>
      </c>
      <c r="J124" s="199"/>
      <c r="K124" s="199"/>
      <c r="L124" s="199"/>
      <c r="M124" s="199"/>
      <c r="N124" s="199"/>
      <c r="O124" s="199"/>
      <c r="P124" s="199"/>
      <c r="Q124" s="199"/>
      <c r="R124" s="199"/>
      <c r="S124" s="199"/>
      <c r="T124" s="199"/>
      <c r="U124" s="199"/>
      <c r="V124" s="199"/>
      <c r="W124" s="199"/>
      <c r="X124" s="199"/>
      <c r="Y124" s="199"/>
    </row>
    <row r="125" spans="3:27" x14ac:dyDescent="0.25">
      <c r="C125" s="88"/>
      <c r="D125" s="2"/>
      <c r="E125" s="2"/>
      <c r="G125" s="13"/>
      <c r="J125" s="89"/>
      <c r="K125" s="89"/>
      <c r="L125" s="89"/>
      <c r="M125" s="89"/>
      <c r="N125" s="89"/>
      <c r="O125" s="89"/>
      <c r="P125" s="89"/>
      <c r="Q125" s="89"/>
      <c r="R125" s="89"/>
      <c r="S125" s="89"/>
      <c r="T125" s="89"/>
      <c r="U125" s="89"/>
      <c r="V125" s="89"/>
      <c r="W125" s="89"/>
      <c r="X125" s="89"/>
      <c r="Y125" s="89"/>
    </row>
    <row r="126" spans="3:27" x14ac:dyDescent="0.25">
      <c r="C126" s="31" t="str">
        <f ca="1">INDEX('Version control'!$H$34:$H$57,MATCH($A$1,'Version control'!$F$34:$F$57,0),1)&amp;"-F: Typical bills"</f>
        <v>Section 118-F: Typical bills</v>
      </c>
      <c r="D126" s="31"/>
      <c r="E126" s="31"/>
      <c r="F126" s="31"/>
      <c r="G126" s="31"/>
      <c r="H126" s="31"/>
      <c r="I126" s="31"/>
      <c r="J126" s="90"/>
      <c r="K126" s="90"/>
      <c r="L126" s="90"/>
      <c r="M126" s="90"/>
      <c r="N126" s="90"/>
      <c r="O126" s="90"/>
      <c r="P126" s="90"/>
      <c r="Q126" s="90"/>
      <c r="R126" s="90"/>
      <c r="S126" s="90"/>
      <c r="T126" s="90"/>
      <c r="U126" s="90"/>
      <c r="V126" s="90"/>
      <c r="W126" s="90"/>
      <c r="X126" s="90"/>
      <c r="Y126" s="90"/>
      <c r="Z126" s="31"/>
      <c r="AA126" s="31"/>
    </row>
    <row r="127" spans="3:27" x14ac:dyDescent="0.25">
      <c r="F127" s="3"/>
      <c r="G127" s="216"/>
      <c r="H127" s="3"/>
      <c r="I127" s="3"/>
      <c r="J127" s="89"/>
      <c r="K127" s="89"/>
      <c r="L127" s="89"/>
      <c r="M127" s="89"/>
      <c r="N127" s="89"/>
      <c r="O127" s="89"/>
      <c r="P127" s="89"/>
      <c r="Q127" s="89"/>
      <c r="R127" s="89"/>
      <c r="S127" s="89"/>
      <c r="T127" s="89"/>
      <c r="U127" s="89"/>
      <c r="V127" s="89"/>
      <c r="W127" s="89"/>
      <c r="X127" s="89"/>
      <c r="Y127" s="89"/>
    </row>
    <row r="128" spans="3:27" x14ac:dyDescent="0.25">
      <c r="E128" t="s">
        <v>882</v>
      </c>
      <c r="G128" s="13" t="s">
        <v>883</v>
      </c>
      <c r="H128" t="s">
        <v>884</v>
      </c>
      <c r="J128" s="199">
        <f t="shared" ref="J128:K128" si="172" xml:space="preserve"> IF( J19 &lt;&gt; 0, J91 / J19, "")</f>
        <v>87.600406707687327</v>
      </c>
      <c r="K128" s="199" t="str">
        <f t="shared" si="172"/>
        <v/>
      </c>
      <c r="L128" s="199">
        <f t="shared" ref="L128:M128" si="173" xml:space="preserve"> IF( L19 &lt;&gt; 0, L91 / L19, "")</f>
        <v>362.48612402466699</v>
      </c>
      <c r="M128" s="199" t="str">
        <f t="shared" si="173"/>
        <v/>
      </c>
      <c r="N128" s="199">
        <f t="shared" ref="N128:P128" si="174" xml:space="preserve"> IF( N19 &lt;&gt; 0, N91 / N19, "")</f>
        <v>5088.8927084633669</v>
      </c>
      <c r="O128" s="199">
        <f t="shared" si="174"/>
        <v>11670.215843249936</v>
      </c>
      <c r="P128" s="199">
        <f t="shared" si="174"/>
        <v>37408.624062259747</v>
      </c>
      <c r="Q128" s="199">
        <f t="shared" ref="Q128:S128" si="175" xml:space="preserve"> IF( Q19 &lt;&gt; 0, Q91 / Q19, "")</f>
        <v>194117.46101176372</v>
      </c>
      <c r="R128" s="199" t="str">
        <f t="shared" si="175"/>
        <v/>
      </c>
      <c r="S128" s="199" t="str">
        <f t="shared" si="175"/>
        <v/>
      </c>
      <c r="T128" s="199">
        <f t="shared" ref="T128:U128" si="176" xml:space="preserve"> IF( T19 &lt;&gt; 0, T91 / T19, "")</f>
        <v>-480.57067070724298</v>
      </c>
      <c r="U128" s="199" t="str">
        <f t="shared" si="176"/>
        <v/>
      </c>
      <c r="V128" s="199">
        <f t="shared" ref="V128:W128" si="177" xml:space="preserve"> IF( V19 &lt;&gt; 0, V91 / V19, "")</f>
        <v>-733.0602270895954</v>
      </c>
      <c r="W128" s="199" t="str">
        <f t="shared" si="177"/>
        <v/>
      </c>
      <c r="X128" s="199">
        <f t="shared" ref="X128:Y128" si="178" xml:space="preserve"> IF( X19 &lt;&gt; 0, X91 / X19, "")</f>
        <v>-16995.774899976514</v>
      </c>
      <c r="Y128" s="199" t="str">
        <f t="shared" si="178"/>
        <v/>
      </c>
    </row>
    <row r="129" spans="2:27" x14ac:dyDescent="0.25">
      <c r="E129" t="s">
        <v>885</v>
      </c>
      <c r="G129" s="13" t="s">
        <v>883</v>
      </c>
      <c r="H129" t="s">
        <v>448</v>
      </c>
      <c r="J129" s="98">
        <f t="shared" ref="J129:K129" si="179" xml:space="preserve"> IF( J28 &lt;&gt; 0, J101 / J28, "")</f>
        <v>53.370172071504342</v>
      </c>
      <c r="K129" s="98" t="str">
        <f t="shared" si="179"/>
        <v/>
      </c>
      <c r="L129" s="98">
        <f t="shared" ref="L129:M129" si="180" xml:space="preserve"> IF( L28 &lt;&gt; 0, L101 / L28, "")</f>
        <v>107.41841516453961</v>
      </c>
      <c r="M129" s="98" t="str">
        <f t="shared" si="180"/>
        <v/>
      </c>
      <c r="N129" s="98">
        <f t="shared" ref="N129:P129" si="181" xml:space="preserve"> IF( N28 &lt;&gt; 0, N101 / N28, "")</f>
        <v>4127.9674938766057</v>
      </c>
      <c r="O129" s="98" t="str">
        <f t="shared" si="181"/>
        <v/>
      </c>
      <c r="P129" s="98" t="str">
        <f t="shared" si="181"/>
        <v/>
      </c>
      <c r="Q129" s="98" t="str">
        <f t="shared" ref="Q129:S129" si="182" xml:space="preserve"> IF( Q28 &lt;&gt; 0, Q101 / Q28, "")</f>
        <v/>
      </c>
      <c r="R129" s="98" t="str">
        <f t="shared" si="182"/>
        <v/>
      </c>
      <c r="S129" s="98" t="str">
        <f t="shared" si="182"/>
        <v/>
      </c>
      <c r="T129" s="98" t="str">
        <f t="shared" ref="T129:U129" si="183" xml:space="preserve"> IF( T28 &lt;&gt; 0, T101 / T28, "")</f>
        <v/>
      </c>
      <c r="U129" s="98" t="str">
        <f t="shared" si="183"/>
        <v/>
      </c>
      <c r="V129" s="98" t="str">
        <f t="shared" ref="V129:W129" si="184" xml:space="preserve"> IF( V28 &lt;&gt; 0, V101 / V28, "")</f>
        <v/>
      </c>
      <c r="W129" s="98" t="str">
        <f t="shared" si="184"/>
        <v/>
      </c>
      <c r="X129" s="98" t="str">
        <f t="shared" ref="X129:Y129" si="185" xml:space="preserve"> IF( X28 &lt;&gt; 0, X101 / X28, "")</f>
        <v/>
      </c>
      <c r="Y129" s="98" t="str">
        <f t="shared" si="185"/>
        <v/>
      </c>
    </row>
    <row r="130" spans="2:27" x14ac:dyDescent="0.25">
      <c r="E130" t="s">
        <v>886</v>
      </c>
      <c r="G130" s="13" t="s">
        <v>883</v>
      </c>
      <c r="H130" t="s">
        <v>449</v>
      </c>
      <c r="J130" s="98">
        <f t="shared" ref="J130:K130" si="186" xml:space="preserve"> IF( J37 &lt;&gt; 0, J111 / J37, "")</f>
        <v>41.334356163829845</v>
      </c>
      <c r="K130" s="98" t="str">
        <f t="shared" si="186"/>
        <v/>
      </c>
      <c r="L130" s="98">
        <f t="shared" ref="L130:M130" si="187" xml:space="preserve"> IF( L37 &lt;&gt; 0, L111 / L37, "")</f>
        <v>131.59248462338221</v>
      </c>
      <c r="M130" s="98" t="str">
        <f t="shared" si="187"/>
        <v/>
      </c>
      <c r="N130" s="98">
        <f t="shared" ref="N130:P130" si="188" xml:space="preserve"> IF( N37 &lt;&gt; 0, N111 / N37, "")</f>
        <v>4675.8440955081869</v>
      </c>
      <c r="O130" s="98">
        <f t="shared" si="188"/>
        <v>17089.444108560285</v>
      </c>
      <c r="P130" s="98">
        <f t="shared" si="188"/>
        <v>44597.207028030381</v>
      </c>
      <c r="Q130" s="98" t="str">
        <f t="shared" ref="Q130:S130" si="189" xml:space="preserve"> IF( Q37 &lt;&gt; 0, Q111 / Q37, "")</f>
        <v/>
      </c>
      <c r="R130" s="98" t="str">
        <f t="shared" si="189"/>
        <v/>
      </c>
      <c r="S130" s="98" t="str">
        <f t="shared" si="189"/>
        <v/>
      </c>
      <c r="T130" s="98">
        <f t="shared" ref="T130:U130" si="190" xml:space="preserve"> IF( T37 &lt;&gt; 0, T111 / T37, "")</f>
        <v>-79.810376292178631</v>
      </c>
      <c r="U130" s="98" t="str">
        <f t="shared" si="190"/>
        <v/>
      </c>
      <c r="V130" s="98" t="str">
        <f t="shared" ref="V130:W130" si="191" xml:space="preserve"> IF( V37 &lt;&gt; 0, V111 / V37, "")</f>
        <v/>
      </c>
      <c r="W130" s="98" t="str">
        <f t="shared" si="191"/>
        <v/>
      </c>
      <c r="X130" s="98" t="str">
        <f t="shared" ref="X130:Y130" si="192" xml:space="preserve"> IF( X37 &lt;&gt; 0, X111 / X37, "")</f>
        <v/>
      </c>
      <c r="Y130" s="98" t="str">
        <f t="shared" si="192"/>
        <v/>
      </c>
    </row>
    <row r="131" spans="2:27" x14ac:dyDescent="0.25">
      <c r="D131" s="2"/>
      <c r="E131" s="2"/>
      <c r="G131" s="13"/>
      <c r="J131" s="89"/>
      <c r="K131" s="89"/>
      <c r="L131" s="89"/>
      <c r="M131" s="89"/>
      <c r="N131" s="89"/>
      <c r="O131" s="89"/>
      <c r="P131" s="89"/>
      <c r="Q131" s="89"/>
      <c r="R131" s="89"/>
      <c r="S131" s="89"/>
      <c r="T131" s="89"/>
      <c r="U131" s="89"/>
      <c r="V131" s="89"/>
      <c r="W131" s="89"/>
      <c r="X131" s="89"/>
      <c r="Y131" s="89"/>
    </row>
    <row r="132" spans="2:27" x14ac:dyDescent="0.25">
      <c r="C132" s="31" t="str">
        <f ca="1">INDEX('Version control'!$H$34:$H$57,MATCH($A$1,'Version control'!$F$34:$F$57,0),1)&amp;"-G: Average bill per kWh"</f>
        <v>Section 118-G: Average bill per kWh</v>
      </c>
      <c r="D132" s="31"/>
      <c r="E132" s="31"/>
      <c r="F132" s="31"/>
      <c r="G132" s="31"/>
      <c r="H132" s="31"/>
      <c r="I132" s="31"/>
      <c r="J132" s="90"/>
      <c r="K132" s="90"/>
      <c r="L132" s="90"/>
      <c r="M132" s="90"/>
      <c r="N132" s="90"/>
      <c r="O132" s="90"/>
      <c r="P132" s="90"/>
      <c r="Q132" s="90"/>
      <c r="R132" s="90"/>
      <c r="S132" s="90"/>
      <c r="T132" s="90"/>
      <c r="U132" s="90"/>
      <c r="V132" s="90"/>
      <c r="W132" s="90"/>
      <c r="X132" s="90"/>
      <c r="Y132" s="90"/>
      <c r="Z132" s="31"/>
      <c r="AA132" s="31"/>
    </row>
    <row r="133" spans="2:27" x14ac:dyDescent="0.25">
      <c r="F133" s="3"/>
      <c r="G133" s="216"/>
      <c r="H133" s="3"/>
      <c r="I133" s="3"/>
      <c r="J133" s="89"/>
      <c r="K133" s="89"/>
      <c r="L133" s="89"/>
      <c r="M133" s="89"/>
      <c r="N133" s="89"/>
      <c r="O133" s="89"/>
      <c r="P133" s="89"/>
      <c r="Q133" s="89"/>
      <c r="R133" s="89"/>
      <c r="S133" s="89"/>
      <c r="T133" s="89"/>
      <c r="U133" s="89"/>
      <c r="V133" s="89"/>
      <c r="W133" s="89"/>
      <c r="X133" s="89"/>
      <c r="Y133" s="89"/>
    </row>
    <row r="134" spans="2:27" x14ac:dyDescent="0.25">
      <c r="E134" t="s">
        <v>887</v>
      </c>
      <c r="G134" s="13" t="s">
        <v>269</v>
      </c>
      <c r="H134" s="269" t="s">
        <v>884</v>
      </c>
      <c r="I134" s="269"/>
      <c r="J134" s="280">
        <f t="shared" ref="J134:Y134" si="193" xml:space="preserve"> IF( SUM(J$16:J$18) &lt;&gt; 0, J$91 / SUM(J$16:J$18) * hundred / thousand, "")</f>
        <v>2.5190092889043045</v>
      </c>
      <c r="K134" s="280">
        <f t="shared" si="193"/>
        <v>1.6561539222816066</v>
      </c>
      <c r="L134" s="280">
        <f t="shared" si="193"/>
        <v>2.1334097146180953</v>
      </c>
      <c r="M134" s="280">
        <f t="shared" si="193"/>
        <v>1.179244095675541</v>
      </c>
      <c r="N134" s="280">
        <f t="shared" si="193"/>
        <v>2.3565064588148439</v>
      </c>
      <c r="O134" s="280">
        <f t="shared" si="193"/>
        <v>2.2240026196044242</v>
      </c>
      <c r="P134" s="280">
        <f t="shared" si="193"/>
        <v>1.7873117347279832</v>
      </c>
      <c r="Q134" s="280">
        <f t="shared" si="193"/>
        <v>2.7780825857732343</v>
      </c>
      <c r="R134" s="280">
        <f t="shared" si="193"/>
        <v>-0.84018103506173192</v>
      </c>
      <c r="S134" s="280" t="str">
        <f t="shared" si="193"/>
        <v/>
      </c>
      <c r="T134" s="280">
        <f t="shared" si="193"/>
        <v>-0.69745698259255617</v>
      </c>
      <c r="U134" s="280" t="str">
        <f t="shared" si="193"/>
        <v/>
      </c>
      <c r="V134" s="280">
        <f t="shared" si="193"/>
        <v>-0.53662614602291037</v>
      </c>
      <c r="W134" s="280" t="str">
        <f t="shared" si="193"/>
        <v/>
      </c>
      <c r="X134" s="280">
        <f t="shared" si="193"/>
        <v>-0.55142715148915455</v>
      </c>
      <c r="Y134" s="280" t="str">
        <f t="shared" si="193"/>
        <v/>
      </c>
      <c r="Z134" s="269"/>
      <c r="AA134" s="269"/>
    </row>
    <row r="135" spans="2:27" x14ac:dyDescent="0.25">
      <c r="E135" t="s">
        <v>888</v>
      </c>
      <c r="G135" s="13" t="s">
        <v>269</v>
      </c>
      <c r="H135" s="269" t="s">
        <v>448</v>
      </c>
      <c r="I135" s="269"/>
      <c r="J135" s="287">
        <f t="shared" ref="J135:Y135" si="194" xml:space="preserve"> IF( SUM(J$25:J$27) &lt;&gt; 0, J$101 / SUM(J$25:J$27) * hundred / thousand, "")</f>
        <v>1.8814389645969876</v>
      </c>
      <c r="K135" s="287" t="str">
        <f t="shared" si="194"/>
        <v/>
      </c>
      <c r="L135" s="287">
        <f t="shared" si="194"/>
        <v>1.7057957299895079</v>
      </c>
      <c r="M135" s="287" t="str">
        <f t="shared" si="194"/>
        <v/>
      </c>
      <c r="N135" s="287">
        <f t="shared" si="194"/>
        <v>1.7406447133152136</v>
      </c>
      <c r="O135" s="287" t="str">
        <f t="shared" si="194"/>
        <v/>
      </c>
      <c r="P135" s="287" t="str">
        <f t="shared" si="194"/>
        <v/>
      </c>
      <c r="Q135" s="287">
        <f t="shared" si="194"/>
        <v>1.8109000662622847</v>
      </c>
      <c r="R135" s="287">
        <f t="shared" si="194"/>
        <v>-0.89939143913848629</v>
      </c>
      <c r="S135" s="287" t="str">
        <f t="shared" si="194"/>
        <v/>
      </c>
      <c r="T135" s="287" t="str">
        <f t="shared" si="194"/>
        <v/>
      </c>
      <c r="U135" s="287" t="str">
        <f t="shared" si="194"/>
        <v/>
      </c>
      <c r="V135" s="287" t="str">
        <f t="shared" si="194"/>
        <v/>
      </c>
      <c r="W135" s="287" t="str">
        <f t="shared" si="194"/>
        <v/>
      </c>
      <c r="X135" s="287" t="str">
        <f t="shared" si="194"/>
        <v/>
      </c>
      <c r="Y135" s="287" t="str">
        <f t="shared" si="194"/>
        <v/>
      </c>
      <c r="Z135" s="269"/>
      <c r="AA135" s="269"/>
    </row>
    <row r="136" spans="2:27" x14ac:dyDescent="0.25">
      <c r="E136" t="s">
        <v>889</v>
      </c>
      <c r="G136" s="13" t="s">
        <v>269</v>
      </c>
      <c r="H136" s="269" t="s">
        <v>449</v>
      </c>
      <c r="I136" s="269"/>
      <c r="J136" s="287">
        <f t="shared" ref="J136:Y136" si="195" xml:space="preserve"> IF( SUM(J$34:J$36) &lt;&gt; 0, J$111 / SUM(J$34:J$36) * hundred / thousand, "")</f>
        <v>1.507900667916348</v>
      </c>
      <c r="K136" s="287" t="str">
        <f t="shared" si="195"/>
        <v/>
      </c>
      <c r="L136" s="287">
        <f t="shared" si="195"/>
        <v>1.2763859913126536</v>
      </c>
      <c r="M136" s="287" t="str">
        <f t="shared" si="195"/>
        <v/>
      </c>
      <c r="N136" s="287">
        <f t="shared" si="195"/>
        <v>1.4141515572848038</v>
      </c>
      <c r="O136" s="287">
        <f t="shared" si="195"/>
        <v>1.9035791438611789</v>
      </c>
      <c r="P136" s="287">
        <f t="shared" si="195"/>
        <v>2.0596641230226984</v>
      </c>
      <c r="Q136" s="287">
        <f t="shared" si="195"/>
        <v>1.3834925486829208</v>
      </c>
      <c r="R136" s="287" t="str">
        <f t="shared" si="195"/>
        <v/>
      </c>
      <c r="S136" s="287" t="str">
        <f t="shared" si="195"/>
        <v/>
      </c>
      <c r="T136" s="287">
        <f t="shared" si="195"/>
        <v>-0.43210302096998543</v>
      </c>
      <c r="U136" s="287" t="str">
        <f t="shared" si="195"/>
        <v/>
      </c>
      <c r="V136" s="287" t="str">
        <f t="shared" si="195"/>
        <v/>
      </c>
      <c r="W136" s="287" t="str">
        <f t="shared" si="195"/>
        <v/>
      </c>
      <c r="X136" s="287" t="str">
        <f t="shared" si="195"/>
        <v/>
      </c>
      <c r="Y136" s="287" t="str">
        <f t="shared" si="195"/>
        <v/>
      </c>
      <c r="Z136" s="269"/>
      <c r="AA136" s="269"/>
    </row>
    <row r="137" spans="2:27" x14ac:dyDescent="0.25">
      <c r="C137" s="88"/>
      <c r="D137" s="2"/>
      <c r="E137" s="2"/>
      <c r="G137" s="13"/>
      <c r="J137" s="89"/>
      <c r="K137" s="89"/>
      <c r="L137" s="89"/>
      <c r="M137" s="89"/>
      <c r="N137" s="89"/>
      <c r="O137" s="89"/>
      <c r="P137" s="89"/>
      <c r="Q137" s="89"/>
      <c r="R137" s="89"/>
      <c r="S137" s="89"/>
      <c r="T137" s="89"/>
      <c r="U137" s="89"/>
      <c r="V137" s="89"/>
      <c r="W137" s="89"/>
      <c r="X137" s="89"/>
      <c r="Y137" s="89"/>
    </row>
    <row r="138" spans="2:27" x14ac:dyDescent="0.25">
      <c r="B138" s="30" t="s">
        <v>890</v>
      </c>
      <c r="C138" s="30"/>
      <c r="D138" s="30"/>
      <c r="E138" s="30"/>
      <c r="F138" s="30"/>
      <c r="G138" s="92"/>
      <c r="H138" s="30"/>
      <c r="I138" s="30"/>
      <c r="J138" s="184"/>
      <c r="K138" s="184"/>
      <c r="L138" s="184"/>
      <c r="M138" s="184"/>
      <c r="N138" s="184"/>
      <c r="O138" s="184"/>
      <c r="P138" s="184"/>
      <c r="Q138" s="184"/>
      <c r="R138" s="184"/>
      <c r="S138" s="184"/>
      <c r="T138" s="184"/>
      <c r="U138" s="184"/>
      <c r="V138" s="184"/>
      <c r="W138" s="184"/>
      <c r="X138" s="184"/>
      <c r="Y138" s="184"/>
      <c r="Z138" s="30"/>
      <c r="AA138" s="30"/>
    </row>
    <row r="139" spans="2:27" x14ac:dyDescent="0.25">
      <c r="F139" s="3"/>
      <c r="G139" s="216"/>
      <c r="H139" s="3"/>
      <c r="I139" s="3"/>
      <c r="J139" s="89"/>
      <c r="K139" s="89"/>
      <c r="L139" s="89"/>
      <c r="M139" s="89"/>
      <c r="N139" s="89"/>
      <c r="O139" s="89"/>
      <c r="P139" s="89"/>
      <c r="Q139" s="89"/>
      <c r="R139" s="89"/>
      <c r="S139" s="89"/>
      <c r="T139" s="89"/>
      <c r="U139" s="89"/>
      <c r="V139" s="89"/>
      <c r="W139" s="89"/>
      <c r="X139" s="89"/>
      <c r="Y139" s="89"/>
    </row>
    <row r="140" spans="2:27" x14ac:dyDescent="0.25">
      <c r="C140" s="31" t="str">
        <f ca="1">INDEX('Version control'!$H$34:$H$57,MATCH($A$1,'Version control'!$F$34:$F$57,0),1)&amp;"-H: Previous year all the way tariff forecast"</f>
        <v>Section 118-H: Previous year all the way tariff forecast</v>
      </c>
      <c r="D140" s="31"/>
      <c r="E140" s="31"/>
      <c r="F140" s="31"/>
      <c r="G140" s="31"/>
      <c r="H140" s="31"/>
      <c r="I140" s="31"/>
      <c r="J140" s="90"/>
      <c r="K140" s="90"/>
      <c r="L140" s="90"/>
      <c r="M140" s="90"/>
      <c r="N140" s="90"/>
      <c r="O140" s="90"/>
      <c r="P140" s="90"/>
      <c r="Q140" s="90"/>
      <c r="R140" s="90"/>
      <c r="S140" s="90"/>
      <c r="T140" s="90"/>
      <c r="U140" s="90"/>
      <c r="V140" s="90"/>
      <c r="W140" s="90"/>
      <c r="X140" s="90"/>
      <c r="Y140" s="90"/>
      <c r="Z140" s="31"/>
      <c r="AA140" s="31"/>
    </row>
    <row r="141" spans="2:27" x14ac:dyDescent="0.25">
      <c r="D141" s="32"/>
      <c r="J141" s="89"/>
      <c r="K141" s="89"/>
      <c r="L141" s="89"/>
      <c r="M141" s="89"/>
      <c r="N141" s="89"/>
      <c r="O141" s="89"/>
      <c r="P141" s="89"/>
      <c r="Q141" s="89"/>
      <c r="R141" s="89"/>
      <c r="S141" s="89"/>
      <c r="T141" s="89"/>
      <c r="U141" s="89"/>
      <c r="V141" s="89"/>
      <c r="W141" s="89"/>
      <c r="X141" s="89"/>
      <c r="Y141" s="89"/>
    </row>
    <row r="142" spans="2:27" x14ac:dyDescent="0.25">
      <c r="E142" s="32" t="s">
        <v>891</v>
      </c>
      <c r="J142" s="89"/>
      <c r="K142" s="89"/>
      <c r="L142" s="89"/>
      <c r="M142" s="89"/>
      <c r="N142" s="89"/>
      <c r="O142" s="89"/>
      <c r="P142" s="89"/>
      <c r="Q142" s="89"/>
      <c r="R142" s="89"/>
      <c r="S142" s="89"/>
      <c r="T142" s="89"/>
      <c r="U142" s="89"/>
      <c r="V142" s="89"/>
      <c r="W142" s="89"/>
      <c r="X142" s="89"/>
      <c r="Y142" s="89"/>
    </row>
    <row r="143" spans="2:27" x14ac:dyDescent="0.25">
      <c r="F143" s="23" t="s">
        <v>156</v>
      </c>
      <c r="G143" s="23" t="s">
        <v>269</v>
      </c>
      <c r="H143" s="267"/>
      <c r="I143" s="267"/>
      <c r="J143" s="283">
        <f>'Inputs by customer type'!J64</f>
        <v>0</v>
      </c>
      <c r="K143" s="283">
        <f>'Inputs by customer type'!K64</f>
        <v>0</v>
      </c>
      <c r="L143" s="283">
        <f>'Inputs by customer type'!L64</f>
        <v>0</v>
      </c>
      <c r="M143" s="283">
        <f>'Inputs by customer type'!M64</f>
        <v>0</v>
      </c>
      <c r="N143" s="283">
        <f>'Inputs by customer type'!N64</f>
        <v>0</v>
      </c>
      <c r="O143" s="283">
        <f>'Inputs by customer type'!O64</f>
        <v>0</v>
      </c>
      <c r="P143" s="283">
        <f>'Inputs by customer type'!P64</f>
        <v>0</v>
      </c>
      <c r="Q143" s="283">
        <f>'Inputs by customer type'!Q64</f>
        <v>0</v>
      </c>
      <c r="R143" s="283">
        <f>'Inputs by customer type'!R64</f>
        <v>0</v>
      </c>
      <c r="S143" s="283">
        <f>'Inputs by customer type'!S64</f>
        <v>0</v>
      </c>
      <c r="T143" s="283">
        <f>'Inputs by customer type'!T64</f>
        <v>0</v>
      </c>
      <c r="U143" s="283">
        <f>'Inputs by customer type'!U64</f>
        <v>0</v>
      </c>
      <c r="V143" s="283">
        <f>'Inputs by customer type'!V64</f>
        <v>0</v>
      </c>
      <c r="W143" s="283">
        <f>'Inputs by customer type'!W64</f>
        <v>0</v>
      </c>
      <c r="X143" s="283">
        <f>'Inputs by customer type'!X64</f>
        <v>0</v>
      </c>
      <c r="Y143" s="283">
        <f>'Inputs by customer type'!Y64</f>
        <v>0</v>
      </c>
      <c r="Z143" s="269"/>
      <c r="AA143" s="269"/>
    </row>
    <row r="144" spans="2:27" x14ac:dyDescent="0.25">
      <c r="E144" s="28"/>
      <c r="F144" t="s">
        <v>157</v>
      </c>
      <c r="G144" t="s">
        <v>269</v>
      </c>
      <c r="H144" s="269"/>
      <c r="I144" s="269"/>
      <c r="J144" s="284">
        <f>'Inputs by customer type'!J65</f>
        <v>0</v>
      </c>
      <c r="K144" s="284">
        <f>'Inputs by customer type'!K65</f>
        <v>0</v>
      </c>
      <c r="L144" s="284">
        <f>'Inputs by customer type'!L65</f>
        <v>0</v>
      </c>
      <c r="M144" s="284">
        <f>'Inputs by customer type'!M65</f>
        <v>0</v>
      </c>
      <c r="N144" s="284">
        <f>'Inputs by customer type'!N65</f>
        <v>0</v>
      </c>
      <c r="O144" s="284">
        <f>'Inputs by customer type'!O65</f>
        <v>0</v>
      </c>
      <c r="P144" s="284">
        <f>'Inputs by customer type'!P65</f>
        <v>0</v>
      </c>
      <c r="Q144" s="284">
        <f>'Inputs by customer type'!Q65</f>
        <v>0</v>
      </c>
      <c r="R144" s="284">
        <f>'Inputs by customer type'!R65</f>
        <v>0</v>
      </c>
      <c r="S144" s="284">
        <f>'Inputs by customer type'!S65</f>
        <v>0</v>
      </c>
      <c r="T144" s="284">
        <f>'Inputs by customer type'!T65</f>
        <v>0</v>
      </c>
      <c r="U144" s="284">
        <f>'Inputs by customer type'!U65</f>
        <v>0</v>
      </c>
      <c r="V144" s="284">
        <f>'Inputs by customer type'!V65</f>
        <v>0</v>
      </c>
      <c r="W144" s="284">
        <f>'Inputs by customer type'!W65</f>
        <v>0</v>
      </c>
      <c r="X144" s="284">
        <f>'Inputs by customer type'!X65</f>
        <v>0</v>
      </c>
      <c r="Y144" s="284">
        <f>'Inputs by customer type'!Y65</f>
        <v>0</v>
      </c>
      <c r="Z144" s="269"/>
      <c r="AA144" s="269"/>
    </row>
    <row r="145" spans="3:27" x14ac:dyDescent="0.25">
      <c r="E145" s="28"/>
      <c r="F145" t="s">
        <v>158</v>
      </c>
      <c r="G145" t="s">
        <v>269</v>
      </c>
      <c r="H145" s="269"/>
      <c r="I145" s="269"/>
      <c r="J145" s="284">
        <f>'Inputs by customer type'!J66</f>
        <v>0</v>
      </c>
      <c r="K145" s="284">
        <f>'Inputs by customer type'!K66</f>
        <v>0</v>
      </c>
      <c r="L145" s="284">
        <f>'Inputs by customer type'!L66</f>
        <v>0</v>
      </c>
      <c r="M145" s="284">
        <f>'Inputs by customer type'!M66</f>
        <v>0</v>
      </c>
      <c r="N145" s="284">
        <f>'Inputs by customer type'!N66</f>
        <v>0</v>
      </c>
      <c r="O145" s="284">
        <f>'Inputs by customer type'!O66</f>
        <v>0</v>
      </c>
      <c r="P145" s="284">
        <f>'Inputs by customer type'!P66</f>
        <v>0</v>
      </c>
      <c r="Q145" s="284">
        <f>'Inputs by customer type'!Q66</f>
        <v>0</v>
      </c>
      <c r="R145" s="284">
        <f>'Inputs by customer type'!R66</f>
        <v>0</v>
      </c>
      <c r="S145" s="284">
        <f>'Inputs by customer type'!S66</f>
        <v>0</v>
      </c>
      <c r="T145" s="284">
        <f>'Inputs by customer type'!T66</f>
        <v>0</v>
      </c>
      <c r="U145" s="284">
        <f>'Inputs by customer type'!U66</f>
        <v>0</v>
      </c>
      <c r="V145" s="284">
        <f>'Inputs by customer type'!V66</f>
        <v>0</v>
      </c>
      <c r="W145" s="284">
        <f>'Inputs by customer type'!W66</f>
        <v>0</v>
      </c>
      <c r="X145" s="284">
        <f>'Inputs by customer type'!X66</f>
        <v>0</v>
      </c>
      <c r="Y145" s="284">
        <f>'Inputs by customer type'!Y66</f>
        <v>0</v>
      </c>
      <c r="Z145" s="269"/>
      <c r="AA145" s="269"/>
    </row>
    <row r="146" spans="3:27" x14ac:dyDescent="0.25">
      <c r="E146" s="28"/>
      <c r="F146" t="s">
        <v>159</v>
      </c>
      <c r="G146" t="s">
        <v>270</v>
      </c>
      <c r="J146" s="120">
        <f>'Inputs by customer type'!J67</f>
        <v>0</v>
      </c>
      <c r="K146" s="120">
        <f>'Inputs by customer type'!K67</f>
        <v>0</v>
      </c>
      <c r="L146" s="120">
        <f>'Inputs by customer type'!L67</f>
        <v>0</v>
      </c>
      <c r="M146" s="120">
        <f>'Inputs by customer type'!M67</f>
        <v>0</v>
      </c>
      <c r="N146" s="120">
        <f>'Inputs by customer type'!N67</f>
        <v>0</v>
      </c>
      <c r="O146" s="120">
        <f>'Inputs by customer type'!O67</f>
        <v>0</v>
      </c>
      <c r="P146" s="120">
        <f>'Inputs by customer type'!P67</f>
        <v>0</v>
      </c>
      <c r="Q146" s="120">
        <f>'Inputs by customer type'!Q67</f>
        <v>0</v>
      </c>
      <c r="R146" s="120">
        <f>'Inputs by customer type'!R67</f>
        <v>0</v>
      </c>
      <c r="S146" s="120">
        <f>'Inputs by customer type'!S67</f>
        <v>0</v>
      </c>
      <c r="T146" s="120">
        <f>'Inputs by customer type'!T67</f>
        <v>0</v>
      </c>
      <c r="U146" s="120">
        <f>'Inputs by customer type'!U67</f>
        <v>0</v>
      </c>
      <c r="V146" s="120">
        <f>'Inputs by customer type'!V67</f>
        <v>0</v>
      </c>
      <c r="W146" s="120">
        <f>'Inputs by customer type'!W67</f>
        <v>0</v>
      </c>
      <c r="X146" s="120">
        <f>'Inputs by customer type'!X67</f>
        <v>0</v>
      </c>
      <c r="Y146" s="120">
        <f>'Inputs by customer type'!Y67</f>
        <v>0</v>
      </c>
    </row>
    <row r="147" spans="3:27" x14ac:dyDescent="0.25">
      <c r="E147" s="28"/>
      <c r="F147" t="s">
        <v>160</v>
      </c>
      <c r="G147" t="s">
        <v>271</v>
      </c>
      <c r="J147" s="120">
        <f>'Inputs by customer type'!J68</f>
        <v>0</v>
      </c>
      <c r="K147" s="120">
        <f>'Inputs by customer type'!K68</f>
        <v>0</v>
      </c>
      <c r="L147" s="120">
        <f>'Inputs by customer type'!L68</f>
        <v>0</v>
      </c>
      <c r="M147" s="120">
        <f>'Inputs by customer type'!M68</f>
        <v>0</v>
      </c>
      <c r="N147" s="120">
        <f>'Inputs by customer type'!N68</f>
        <v>0</v>
      </c>
      <c r="O147" s="120">
        <f>'Inputs by customer type'!O68</f>
        <v>0</v>
      </c>
      <c r="P147" s="120">
        <f>'Inputs by customer type'!P68</f>
        <v>0</v>
      </c>
      <c r="Q147" s="120">
        <f>'Inputs by customer type'!Q68</f>
        <v>0</v>
      </c>
      <c r="R147" s="120">
        <f>'Inputs by customer type'!R68</f>
        <v>0</v>
      </c>
      <c r="S147" s="120">
        <f>'Inputs by customer type'!S68</f>
        <v>0</v>
      </c>
      <c r="T147" s="120">
        <f>'Inputs by customer type'!T68</f>
        <v>0</v>
      </c>
      <c r="U147" s="120">
        <f>'Inputs by customer type'!U68</f>
        <v>0</v>
      </c>
      <c r="V147" s="120">
        <f>'Inputs by customer type'!V68</f>
        <v>0</v>
      </c>
      <c r="W147" s="120">
        <f>'Inputs by customer type'!W68</f>
        <v>0</v>
      </c>
      <c r="X147" s="120">
        <f>'Inputs by customer type'!X68</f>
        <v>0</v>
      </c>
      <c r="Y147" s="120">
        <f>'Inputs by customer type'!Y68</f>
        <v>0</v>
      </c>
    </row>
    <row r="148" spans="3:27" x14ac:dyDescent="0.25">
      <c r="E148" s="28"/>
      <c r="F148" t="s">
        <v>161</v>
      </c>
      <c r="G148" t="s">
        <v>271</v>
      </c>
      <c r="J148" s="120">
        <f>'Inputs by customer type'!J69</f>
        <v>0</v>
      </c>
      <c r="K148" s="120">
        <f>'Inputs by customer type'!K69</f>
        <v>0</v>
      </c>
      <c r="L148" s="120">
        <f>'Inputs by customer type'!L69</f>
        <v>0</v>
      </c>
      <c r="M148" s="120">
        <f>'Inputs by customer type'!M69</f>
        <v>0</v>
      </c>
      <c r="N148" s="120">
        <f>'Inputs by customer type'!N69</f>
        <v>0</v>
      </c>
      <c r="O148" s="120">
        <f>'Inputs by customer type'!O69</f>
        <v>0</v>
      </c>
      <c r="P148" s="120">
        <f>'Inputs by customer type'!P69</f>
        <v>0</v>
      </c>
      <c r="Q148" s="120">
        <f>'Inputs by customer type'!Q69</f>
        <v>0</v>
      </c>
      <c r="R148" s="120">
        <f>'Inputs by customer type'!R69</f>
        <v>0</v>
      </c>
      <c r="S148" s="120">
        <f>'Inputs by customer type'!S69</f>
        <v>0</v>
      </c>
      <c r="T148" s="120">
        <f>'Inputs by customer type'!T69</f>
        <v>0</v>
      </c>
      <c r="U148" s="120">
        <f>'Inputs by customer type'!U69</f>
        <v>0</v>
      </c>
      <c r="V148" s="120">
        <f>'Inputs by customer type'!V69</f>
        <v>0</v>
      </c>
      <c r="W148" s="120">
        <f>'Inputs by customer type'!W69</f>
        <v>0</v>
      </c>
      <c r="X148" s="120">
        <f>'Inputs by customer type'!X69</f>
        <v>0</v>
      </c>
      <c r="Y148" s="120">
        <f>'Inputs by customer type'!Y69</f>
        <v>0</v>
      </c>
    </row>
    <row r="149" spans="3:27" x14ac:dyDescent="0.25">
      <c r="E149" s="28"/>
      <c r="F149" s="37" t="s">
        <v>162</v>
      </c>
      <c r="G149" s="37" t="s">
        <v>272</v>
      </c>
      <c r="H149" s="273"/>
      <c r="I149" s="273"/>
      <c r="J149" s="288">
        <f>'Inputs by customer type'!J70</f>
        <v>0</v>
      </c>
      <c r="K149" s="288">
        <f>'Inputs by customer type'!K70</f>
        <v>0</v>
      </c>
      <c r="L149" s="288">
        <f>'Inputs by customer type'!L70</f>
        <v>0</v>
      </c>
      <c r="M149" s="288">
        <f>'Inputs by customer type'!M70</f>
        <v>0</v>
      </c>
      <c r="N149" s="288">
        <f>'Inputs by customer type'!N70</f>
        <v>0</v>
      </c>
      <c r="O149" s="288">
        <f>'Inputs by customer type'!O70</f>
        <v>0</v>
      </c>
      <c r="P149" s="288">
        <f>'Inputs by customer type'!P70</f>
        <v>0</v>
      </c>
      <c r="Q149" s="288">
        <f>'Inputs by customer type'!Q70</f>
        <v>0</v>
      </c>
      <c r="R149" s="288">
        <f>'Inputs by customer type'!R70</f>
        <v>0</v>
      </c>
      <c r="S149" s="288">
        <f>'Inputs by customer type'!S70</f>
        <v>0</v>
      </c>
      <c r="T149" s="288">
        <f>'Inputs by customer type'!T70</f>
        <v>0</v>
      </c>
      <c r="U149" s="288">
        <f>'Inputs by customer type'!U70</f>
        <v>0</v>
      </c>
      <c r="V149" s="288">
        <f>'Inputs by customer type'!V70</f>
        <v>0</v>
      </c>
      <c r="W149" s="288">
        <f>'Inputs by customer type'!W70</f>
        <v>0</v>
      </c>
      <c r="X149" s="288">
        <f>'Inputs by customer type'!X70</f>
        <v>0</v>
      </c>
      <c r="Y149" s="288">
        <f>'Inputs by customer type'!Y70</f>
        <v>0</v>
      </c>
      <c r="Z149" s="269"/>
      <c r="AA149" s="269"/>
    </row>
    <row r="150" spans="3:27" x14ac:dyDescent="0.25">
      <c r="D150" s="28"/>
      <c r="E150" s="72"/>
      <c r="F150" s="72"/>
      <c r="G150" s="72"/>
      <c r="J150" s="89"/>
      <c r="K150" s="89"/>
      <c r="L150" s="89"/>
      <c r="M150" s="89"/>
      <c r="N150" s="89"/>
      <c r="O150" s="89"/>
      <c r="P150" s="89"/>
      <c r="Q150" s="89"/>
      <c r="R150" s="89"/>
      <c r="S150" s="89"/>
      <c r="T150" s="89"/>
      <c r="U150" s="89"/>
      <c r="V150" s="89"/>
      <c r="W150" s="89"/>
      <c r="X150" s="89"/>
      <c r="Y150" s="89"/>
    </row>
    <row r="151" spans="3:27" x14ac:dyDescent="0.25">
      <c r="C151" s="31" t="str">
        <f ca="1">INDEX('Version control'!$H$34:$H$57,MATCH($A$1,'Version control'!$F$34:$F$57,0),1)&amp;"-I: Previous year net revenue from all the way tariff forecast"</f>
        <v>Section 118-I: Previous year net revenue from all the way tariff forecast</v>
      </c>
      <c r="D151" s="31"/>
      <c r="E151" s="31"/>
      <c r="F151" s="31"/>
      <c r="G151" s="31"/>
      <c r="H151" s="31"/>
      <c r="I151" s="31"/>
      <c r="J151" s="90"/>
      <c r="K151" s="90"/>
      <c r="L151" s="90"/>
      <c r="M151" s="90"/>
      <c r="N151" s="90"/>
      <c r="O151" s="90"/>
      <c r="P151" s="90"/>
      <c r="Q151" s="90"/>
      <c r="R151" s="90"/>
      <c r="S151" s="90"/>
      <c r="T151" s="90"/>
      <c r="U151" s="90"/>
      <c r="V151" s="90"/>
      <c r="W151" s="90"/>
      <c r="X151" s="90"/>
      <c r="Y151" s="90"/>
      <c r="Z151" s="31"/>
      <c r="AA151" s="31"/>
    </row>
    <row r="152" spans="3:27" x14ac:dyDescent="0.25">
      <c r="D152" s="32"/>
      <c r="J152" s="89"/>
      <c r="K152" s="89"/>
      <c r="L152" s="89"/>
      <c r="M152" s="89"/>
      <c r="N152" s="89"/>
      <c r="O152" s="89"/>
      <c r="P152" s="89"/>
      <c r="Q152" s="89"/>
      <c r="R152" s="89"/>
      <c r="S152" s="89"/>
      <c r="T152" s="89"/>
      <c r="U152" s="89"/>
      <c r="V152" s="89"/>
      <c r="W152" s="89"/>
      <c r="X152" s="89"/>
      <c r="Y152" s="89"/>
    </row>
    <row r="153" spans="3:27" x14ac:dyDescent="0.25">
      <c r="D153" s="29" t="s">
        <v>892</v>
      </c>
      <c r="J153" s="89"/>
      <c r="K153" s="89"/>
      <c r="L153" s="89"/>
      <c r="M153" s="89"/>
      <c r="N153" s="89"/>
      <c r="O153" s="89"/>
      <c r="P153" s="89"/>
      <c r="Q153" s="89"/>
      <c r="R153" s="89"/>
      <c r="S153" s="89"/>
      <c r="T153" s="89"/>
      <c r="U153" s="89"/>
      <c r="V153" s="89"/>
      <c r="W153" s="89"/>
      <c r="X153" s="89"/>
      <c r="Y153" s="89"/>
    </row>
    <row r="154" spans="3:27" x14ac:dyDescent="0.25">
      <c r="D154" s="91" t="s">
        <v>893</v>
      </c>
      <c r="J154" s="89"/>
      <c r="K154" s="89"/>
      <c r="L154" s="89"/>
      <c r="M154" s="89"/>
      <c r="N154" s="89"/>
      <c r="O154" s="89"/>
      <c r="P154" s="89"/>
      <c r="Q154" s="89"/>
      <c r="R154" s="89"/>
      <c r="S154" s="89"/>
      <c r="T154" s="89"/>
      <c r="U154" s="89"/>
      <c r="V154" s="89"/>
      <c r="W154" s="89"/>
      <c r="X154" s="89"/>
      <c r="Y154" s="89"/>
    </row>
    <row r="155" spans="3:27" x14ac:dyDescent="0.25">
      <c r="C155" s="88"/>
      <c r="D155" s="2"/>
      <c r="E155" s="2"/>
      <c r="G155" s="13"/>
      <c r="J155" s="89"/>
      <c r="K155" s="89"/>
      <c r="L155" s="89"/>
      <c r="M155" s="89"/>
      <c r="N155" s="89"/>
      <c r="O155" s="89"/>
      <c r="P155" s="89"/>
      <c r="Q155" s="89"/>
      <c r="R155" s="89"/>
      <c r="S155" s="89"/>
      <c r="T155" s="89"/>
      <c r="U155" s="89"/>
      <c r="V155" s="89"/>
      <c r="W155" s="89"/>
      <c r="X155" s="89"/>
      <c r="Y155" s="89"/>
    </row>
    <row r="156" spans="3:27" x14ac:dyDescent="0.25">
      <c r="E156" s="108" t="s">
        <v>894</v>
      </c>
      <c r="F156" s="108"/>
      <c r="G156" s="108" t="s">
        <v>277</v>
      </c>
      <c r="H156" s="108"/>
      <c r="I156" s="108"/>
      <c r="J156" s="221" t="str">
        <f>IF('Inputs by customer type'!J78 = "", "", 'Inputs by customer type'!J78)</f>
        <v/>
      </c>
      <c r="K156" s="221" t="str">
        <f>IF('Inputs by customer type'!K78 = "", "", 'Inputs by customer type'!K78)</f>
        <v/>
      </c>
      <c r="L156" s="221" t="str">
        <f>IF('Inputs by customer type'!L78 = "", "", 'Inputs by customer type'!L78)</f>
        <v/>
      </c>
      <c r="M156" s="221" t="str">
        <f>IF('Inputs by customer type'!M78 = "", "", 'Inputs by customer type'!M78)</f>
        <v/>
      </c>
      <c r="N156" s="221" t="str">
        <f>IF('Inputs by customer type'!N78 = "", "", 'Inputs by customer type'!N78)</f>
        <v/>
      </c>
      <c r="O156" s="221" t="str">
        <f>IF('Inputs by customer type'!O78 = "", "", 'Inputs by customer type'!O78)</f>
        <v/>
      </c>
      <c r="P156" s="221" t="str">
        <f>IF('Inputs by customer type'!P78 = "", "", 'Inputs by customer type'!P78)</f>
        <v/>
      </c>
      <c r="Q156" s="221" t="str">
        <f>IF('Inputs by customer type'!Q78 = "", "", 'Inputs by customer type'!Q78)</f>
        <v/>
      </c>
      <c r="R156" s="221" t="str">
        <f>IF('Inputs by customer type'!R78 = "", "", 'Inputs by customer type'!R78)</f>
        <v/>
      </c>
      <c r="S156" s="221" t="str">
        <f>IF('Inputs by customer type'!S78 = "", "", 'Inputs by customer type'!S78)</f>
        <v/>
      </c>
      <c r="T156" s="221" t="str">
        <f>IF('Inputs by customer type'!T78 = "", "", 'Inputs by customer type'!T78)</f>
        <v/>
      </c>
      <c r="U156" s="221" t="str">
        <f>IF('Inputs by customer type'!U78 = "", "", 'Inputs by customer type'!U78)</f>
        <v/>
      </c>
      <c r="V156" s="221" t="str">
        <f>IF('Inputs by customer type'!V78 = "", "", 'Inputs by customer type'!V78)</f>
        <v/>
      </c>
      <c r="W156" s="221" t="str">
        <f>IF('Inputs by customer type'!W78 = "", "", 'Inputs by customer type'!W78)</f>
        <v/>
      </c>
      <c r="X156" s="221" t="str">
        <f>IF('Inputs by customer type'!X78 = "", "", 'Inputs by customer type'!X78)</f>
        <v/>
      </c>
      <c r="Y156" s="221" t="str">
        <f>IF('Inputs by customer type'!Y78 = "", "", 'Inputs by customer type'!Y78)</f>
        <v/>
      </c>
    </row>
    <row r="157" spans="3:27" x14ac:dyDescent="0.25">
      <c r="D157" s="28"/>
      <c r="E157" s="72"/>
      <c r="F157" s="72"/>
      <c r="G157" s="72"/>
      <c r="J157" s="89"/>
      <c r="K157" s="89"/>
      <c r="L157" s="89"/>
      <c r="M157" s="89"/>
      <c r="N157" s="89"/>
      <c r="O157" s="89"/>
      <c r="P157" s="89"/>
      <c r="Q157" s="89"/>
      <c r="R157" s="89"/>
      <c r="S157" s="89"/>
      <c r="T157" s="89"/>
      <c r="U157" s="89"/>
      <c r="V157" s="89"/>
      <c r="W157" s="89"/>
      <c r="X157" s="89"/>
      <c r="Y157" s="89"/>
    </row>
    <row r="158" spans="3:27" x14ac:dyDescent="0.25">
      <c r="E158" t="s">
        <v>895</v>
      </c>
      <c r="G158" t="s">
        <v>277</v>
      </c>
      <c r="J158" s="98">
        <f t="shared" ref="J158:K158" si="196">IF(J156 = "", (J146*J19 + J147*J20 + J148*J21) / hundred * days_in_year + (J143*J16 + J144*J17 + J145*J18 + J149*J22) * ten, J156)</f>
        <v>0</v>
      </c>
      <c r="K158" s="98">
        <f t="shared" si="196"/>
        <v>0</v>
      </c>
      <c r="L158" s="98">
        <f t="shared" ref="L158:M158" si="197">IF(L156 = "", (L146*L19 + L147*L20 + L148*L21) / hundred * days_in_year + (L143*L16 + L144*L17 + L145*L18 + L149*L22) * ten, L156)</f>
        <v>0</v>
      </c>
      <c r="M158" s="98">
        <f t="shared" si="197"/>
        <v>0</v>
      </c>
      <c r="N158" s="98">
        <f t="shared" ref="N158:P158" si="198">IF(N156 = "", (N146*N19 + N147*N20 + N148*N21) / hundred * days_in_year + (N143*N16 + N144*N17 + N145*N18 + N149*N22) * ten, N156)</f>
        <v>0</v>
      </c>
      <c r="O158" s="98">
        <f t="shared" si="198"/>
        <v>0</v>
      </c>
      <c r="P158" s="98">
        <f t="shared" si="198"/>
        <v>0</v>
      </c>
      <c r="Q158" s="98">
        <f t="shared" ref="Q158:S158" si="199">IF(Q156 = "", (Q146*Q19 + Q147*Q20 + Q148*Q21) / hundred * days_in_year + (Q143*Q16 + Q144*Q17 + Q145*Q18 + Q149*Q22) * ten, Q156)</f>
        <v>0</v>
      </c>
      <c r="R158" s="98">
        <f t="shared" si="199"/>
        <v>0</v>
      </c>
      <c r="S158" s="98">
        <f t="shared" si="199"/>
        <v>0</v>
      </c>
      <c r="T158" s="98">
        <f t="shared" ref="T158:U158" si="200">IF(T156 = "", (T146*T19 + T147*T20 + T148*T21) / hundred * days_in_year + (T143*T16 + T144*T17 + T145*T18 + T149*T22) * ten, T156)</f>
        <v>0</v>
      </c>
      <c r="U158" s="98">
        <f t="shared" si="200"/>
        <v>0</v>
      </c>
      <c r="V158" s="98">
        <f t="shared" ref="V158:W158" si="201">IF(V156 = "", (V146*V19 + V147*V20 + V148*V21) / hundred * days_in_year + (V143*V16 + V144*V17 + V145*V18 + V149*V22) * ten, V156)</f>
        <v>0</v>
      </c>
      <c r="W158" s="98">
        <f t="shared" si="201"/>
        <v>0</v>
      </c>
      <c r="X158" s="98">
        <f t="shared" ref="X158:Y158" si="202">IF(X156 = "", (X146*X19 + X147*X20 + X148*X21) / hundred * days_in_year + (X143*X16 + X144*X17 + X145*X18 + X149*X22) * ten, X156)</f>
        <v>0</v>
      </c>
      <c r="Y158" s="98">
        <f t="shared" si="202"/>
        <v>0</v>
      </c>
    </row>
    <row r="159" spans="3:27" x14ac:dyDescent="0.25">
      <c r="F159" s="3"/>
      <c r="G159" s="216"/>
      <c r="H159" s="3"/>
      <c r="I159" s="3"/>
    </row>
    <row r="160" spans="3:27" x14ac:dyDescent="0.25">
      <c r="E160" t="s">
        <v>896</v>
      </c>
      <c r="G160" s="13" t="s">
        <v>167</v>
      </c>
      <c r="J160" s="111">
        <f t="shared" ref="J160:K160" si="203">IF( J158 &lt;&gt; 0, (J91 - J158) / J158, 0)</f>
        <v>0</v>
      </c>
      <c r="K160" s="111">
        <f t="shared" si="203"/>
        <v>0</v>
      </c>
      <c r="L160" s="111">
        <f t="shared" ref="L160:M160" si="204">IF( L158 &lt;&gt; 0, (L91 - L158) / L158, 0)</f>
        <v>0</v>
      </c>
      <c r="M160" s="111">
        <f t="shared" si="204"/>
        <v>0</v>
      </c>
      <c r="N160" s="111">
        <f t="shared" ref="N160:P160" si="205">IF( N158 &lt;&gt; 0, (N91 - N158) / N158, 0)</f>
        <v>0</v>
      </c>
      <c r="O160" s="111">
        <f t="shared" si="205"/>
        <v>0</v>
      </c>
      <c r="P160" s="111">
        <f t="shared" si="205"/>
        <v>0</v>
      </c>
      <c r="Q160" s="111">
        <f t="shared" ref="Q160:S160" si="206">IF( Q158 &lt;&gt; 0, (Q91 - Q158) / Q158, 0)</f>
        <v>0</v>
      </c>
      <c r="R160" s="111">
        <f t="shared" si="206"/>
        <v>0</v>
      </c>
      <c r="S160" s="111">
        <f t="shared" si="206"/>
        <v>0</v>
      </c>
      <c r="T160" s="111">
        <f t="shared" ref="T160:U160" si="207">IF( T158 &lt;&gt; 0, (T91 - T158) / T158, 0)</f>
        <v>0</v>
      </c>
      <c r="U160" s="111">
        <f t="shared" si="207"/>
        <v>0</v>
      </c>
      <c r="V160" s="111">
        <f t="shared" ref="V160:W160" si="208">IF( V158 &lt;&gt; 0, (V91 - V158) / V158, 0)</f>
        <v>0</v>
      </c>
      <c r="W160" s="111">
        <f t="shared" si="208"/>
        <v>0</v>
      </c>
      <c r="X160" s="111">
        <f t="shared" ref="X160:Y160" si="209">IF( X158 &lt;&gt; 0, (X91 - X158) / X158, 0)</f>
        <v>0</v>
      </c>
      <c r="Y160" s="111">
        <f t="shared" si="209"/>
        <v>0</v>
      </c>
    </row>
    <row r="161" spans="2:27" x14ac:dyDescent="0.25">
      <c r="C161" s="88"/>
      <c r="D161" s="2"/>
      <c r="E161" s="2"/>
      <c r="G161" s="13"/>
    </row>
    <row r="162" spans="2:27" x14ac:dyDescent="0.25">
      <c r="E162" t="s">
        <v>897</v>
      </c>
      <c r="G162" s="13" t="s">
        <v>269</v>
      </c>
      <c r="H162" s="269"/>
      <c r="I162" s="269"/>
      <c r="J162" s="280">
        <f t="shared" ref="J162:K162" si="210" xml:space="preserve"> (J91 - J158) / IF( SUM(J16:J18) = 0, 1, SUM(J16:J18)) / ten</f>
        <v>2.5190092889043045</v>
      </c>
      <c r="K162" s="280">
        <f t="shared" si="210"/>
        <v>1.6561539222816066</v>
      </c>
      <c r="L162" s="280">
        <f t="shared" ref="L162:M162" si="211" xml:space="preserve"> (L91 - L158) / IF( SUM(L16:L18) = 0, 1, SUM(L16:L18)) / ten</f>
        <v>2.1334097146180953</v>
      </c>
      <c r="M162" s="280">
        <f t="shared" si="211"/>
        <v>1.179244095675541</v>
      </c>
      <c r="N162" s="280">
        <f t="shared" ref="N162:P162" si="212" xml:space="preserve"> (N91 - N158) / IF( SUM(N16:N18) = 0, 1, SUM(N16:N18)) / ten</f>
        <v>2.3565064588148439</v>
      </c>
      <c r="O162" s="280">
        <f t="shared" si="212"/>
        <v>2.2240026196044242</v>
      </c>
      <c r="P162" s="280">
        <f t="shared" si="212"/>
        <v>1.7873117347279834</v>
      </c>
      <c r="Q162" s="280">
        <f t="shared" ref="Q162:S162" si="213" xml:space="preserve"> (Q91 - Q158) / IF( SUM(Q16:Q18) = 0, 1, SUM(Q16:Q18)) / ten</f>
        <v>2.7780825857732343</v>
      </c>
      <c r="R162" s="280">
        <f t="shared" si="213"/>
        <v>-0.84018103506173192</v>
      </c>
      <c r="S162" s="280">
        <f t="shared" si="213"/>
        <v>0</v>
      </c>
      <c r="T162" s="280">
        <f t="shared" ref="T162:U162" si="214" xml:space="preserve"> (T91 - T158) / IF( SUM(T16:T18) = 0, 1, SUM(T16:T18)) / ten</f>
        <v>-0.69745698259255617</v>
      </c>
      <c r="U162" s="280">
        <f t="shared" si="214"/>
        <v>0</v>
      </c>
      <c r="V162" s="280">
        <f t="shared" ref="V162:W162" si="215" xml:space="preserve"> (V91 - V158) / IF( SUM(V16:V18) = 0, 1, SUM(V16:V18)) / ten</f>
        <v>-0.53662614602291037</v>
      </c>
      <c r="W162" s="280">
        <f t="shared" si="215"/>
        <v>0</v>
      </c>
      <c r="X162" s="280">
        <f t="shared" ref="X162:Y162" si="216" xml:space="preserve"> (X91 - X158) / IF( SUM(X16:X18) = 0, 1, SUM(X16:X18)) / ten</f>
        <v>-0.55142715148915455</v>
      </c>
      <c r="Y162" s="280">
        <f t="shared" si="216"/>
        <v>0</v>
      </c>
      <c r="Z162" s="269"/>
      <c r="AA162" s="269"/>
    </row>
    <row r="163" spans="2:27" x14ac:dyDescent="0.25">
      <c r="C163" s="88"/>
      <c r="D163" s="2"/>
      <c r="E163" s="2"/>
      <c r="G163" s="13"/>
    </row>
    <row r="164" spans="2:27" x14ac:dyDescent="0.25">
      <c r="B164" s="30" t="s">
        <v>898</v>
      </c>
      <c r="C164" s="30"/>
      <c r="D164" s="30"/>
      <c r="E164" s="30"/>
      <c r="F164" s="30"/>
      <c r="G164" s="92"/>
      <c r="H164" s="30"/>
      <c r="I164" s="30"/>
      <c r="J164" s="30"/>
      <c r="K164" s="30"/>
      <c r="L164" s="30"/>
      <c r="M164" s="30"/>
      <c r="N164" s="30"/>
      <c r="O164" s="30"/>
      <c r="P164" s="30"/>
      <c r="Q164" s="30"/>
      <c r="R164" s="30"/>
      <c r="S164" s="30"/>
      <c r="T164" s="30"/>
      <c r="U164" s="30"/>
      <c r="V164" s="30"/>
      <c r="W164" s="30"/>
      <c r="X164" s="30"/>
      <c r="Y164" s="30"/>
      <c r="Z164" s="30"/>
      <c r="AA164" s="30"/>
    </row>
    <row r="165" spans="2:27" x14ac:dyDescent="0.25">
      <c r="F165" s="3"/>
      <c r="G165" s="216"/>
      <c r="H165" s="3"/>
      <c r="I165" s="3"/>
    </row>
    <row r="166" spans="2:27" x14ac:dyDescent="0.25">
      <c r="C166" s="31" t="str">
        <f ca="1">INDEX('Version control'!$H$34:$H$57,MATCH($A$1,'Version control'!$F$34:$F$57,0),1)&amp;"-J: LDNO typical bills using all-the-way volumes"</f>
        <v>Section 118-J: LDNO typical bills using all-the-way volumes</v>
      </c>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row>
    <row r="167" spans="2:27" x14ac:dyDescent="0.25">
      <c r="C167" s="88"/>
      <c r="D167" s="2"/>
      <c r="E167" s="2"/>
      <c r="G167" s="13"/>
    </row>
    <row r="168" spans="2:27" x14ac:dyDescent="0.25">
      <c r="E168" s="32" t="s">
        <v>899</v>
      </c>
      <c r="G168" s="13"/>
      <c r="H168" s="128"/>
      <c r="J168" s="63"/>
      <c r="K168" s="63"/>
      <c r="L168" s="63"/>
      <c r="M168" s="63"/>
      <c r="N168" s="63"/>
      <c r="O168" s="63"/>
      <c r="P168" s="63"/>
      <c r="Q168" s="63"/>
      <c r="R168" s="63"/>
      <c r="S168" s="63"/>
      <c r="T168" s="63"/>
      <c r="U168" s="63"/>
      <c r="V168" s="63"/>
      <c r="W168" s="63"/>
      <c r="X168" s="63"/>
      <c r="Y168" s="63"/>
    </row>
    <row r="169" spans="2:27" x14ac:dyDescent="0.25">
      <c r="E169" s="29" t="s">
        <v>900</v>
      </c>
    </row>
    <row r="170" spans="2:27" x14ac:dyDescent="0.25">
      <c r="E170" s="28"/>
      <c r="F170" s="23" t="s">
        <v>156</v>
      </c>
      <c r="G170" s="85" t="s">
        <v>901</v>
      </c>
      <c r="H170" s="222"/>
      <c r="I170" s="23"/>
      <c r="J170" s="126">
        <f t="shared" ref="J170:K170" si="217" xml:space="preserve"> IF( J$19 &lt;&gt; 0, J$16 * thousand * J54 / hundred / J$19, "")</f>
        <v>23.806311489027468</v>
      </c>
      <c r="K170" s="126" t="str">
        <f t="shared" si="217"/>
        <v/>
      </c>
      <c r="L170" s="126">
        <f t="shared" ref="L170:M170" si="218" xml:space="preserve"> IF( L$19 &lt;&gt; 0, L$16 * thousand * L54 / hundred / L$19, "")</f>
        <v>94.168867922392849</v>
      </c>
      <c r="M170" s="126" t="str">
        <f t="shared" si="218"/>
        <v/>
      </c>
      <c r="N170" s="126">
        <f t="shared" ref="N170:P170" si="219" xml:space="preserve"> IF( N$19 &lt;&gt; 0, N$16 * thousand * N54 / hundred / N$19, "")</f>
        <v>885.20324459864537</v>
      </c>
      <c r="O170" s="126">
        <f t="shared" si="219"/>
        <v>0</v>
      </c>
      <c r="P170" s="126">
        <f t="shared" si="219"/>
        <v>0</v>
      </c>
      <c r="Q170" s="126">
        <f t="shared" ref="Q170:S170" si="220" xml:space="preserve"> IF( Q$19 &lt;&gt; 0, Q$16 * thousand * Q54 / hundred / Q$19, "")</f>
        <v>46840.91455993757</v>
      </c>
      <c r="R170" s="126" t="str">
        <f t="shared" si="220"/>
        <v/>
      </c>
      <c r="S170" s="126" t="str">
        <f t="shared" si="220"/>
        <v/>
      </c>
      <c r="T170" s="126">
        <f t="shared" ref="T170:U170" si="221" xml:space="preserve"> IF( T$19 &lt;&gt; 0, T$16 * thousand * T54 / hundred / T$19, "")</f>
        <v>-293.02327560216776</v>
      </c>
      <c r="U170" s="126" t="str">
        <f t="shared" si="221"/>
        <v/>
      </c>
      <c r="V170" s="126">
        <f t="shared" ref="V170:W170" si="222" xml:space="preserve"> IF( V$19 &lt;&gt; 0, V$16 * thousand * V54 / hundred / V$19, "")</f>
        <v>0</v>
      </c>
      <c r="W170" s="126" t="str">
        <f t="shared" si="222"/>
        <v/>
      </c>
      <c r="X170" s="126">
        <f t="shared" ref="X170:Y170" si="223" xml:space="preserve"> IF( X$19 &lt;&gt; 0, X$16 * thousand * X54 / hundred / X$19, "")</f>
        <v>0</v>
      </c>
      <c r="Y170" s="126" t="str">
        <f t="shared" si="223"/>
        <v/>
      </c>
    </row>
    <row r="171" spans="2:27" x14ac:dyDescent="0.25">
      <c r="E171" s="28"/>
      <c r="F171" t="s">
        <v>157</v>
      </c>
      <c r="G171" s="13" t="s">
        <v>901</v>
      </c>
      <c r="H171" s="102"/>
      <c r="J171" s="98">
        <f t="shared" ref="J171:K171" si="224" xml:space="preserve"> IF( J$19 &lt;&gt; 0, J$17 * thousand * J55 / hundred / J$19, "")</f>
        <v>15.076017631696283</v>
      </c>
      <c r="K171" s="98" t="str">
        <f t="shared" si="224"/>
        <v/>
      </c>
      <c r="L171" s="98">
        <f t="shared" ref="L171:M171" si="225" xml:space="preserve"> IF( L$19 &lt;&gt; 0, L$17 * thousand * L55 / hundred / L$19, "")</f>
        <v>87.540304082376863</v>
      </c>
      <c r="M171" s="98" t="str">
        <f t="shared" si="225"/>
        <v/>
      </c>
      <c r="N171" s="98">
        <f t="shared" ref="N171:P171" si="226" xml:space="preserve"> IF( N$19 &lt;&gt; 0, N$17 * thousand * N55 / hundred / N$19, "")</f>
        <v>950.10476744525806</v>
      </c>
      <c r="O171" s="98">
        <f t="shared" si="226"/>
        <v>0</v>
      </c>
      <c r="P171" s="98">
        <f t="shared" si="226"/>
        <v>0</v>
      </c>
      <c r="Q171" s="98">
        <f t="shared" ref="Q171:S171" si="227" xml:space="preserve"> IF( Q$19 &lt;&gt; 0, Q$17 * thousand * Q55 / hundred / Q$19, "")</f>
        <v>26727.225869489026</v>
      </c>
      <c r="R171" s="98" t="str">
        <f t="shared" si="227"/>
        <v/>
      </c>
      <c r="S171" s="98" t="str">
        <f t="shared" si="227"/>
        <v/>
      </c>
      <c r="T171" s="98">
        <f t="shared" ref="T171:U171" si="228" xml:space="preserve"> IF( T$19 &lt;&gt; 0, T$17 * thousand * T55 / hundred / T$19, "")</f>
        <v>-183.50049451903402</v>
      </c>
      <c r="U171" s="98" t="str">
        <f t="shared" si="228"/>
        <v/>
      </c>
      <c r="V171" s="98">
        <f t="shared" ref="V171:W171" si="229" xml:space="preserve"> IF( V$19 &lt;&gt; 0, V$17 * thousand * V55 / hundred / V$19, "")</f>
        <v>0</v>
      </c>
      <c r="W171" s="98" t="str">
        <f t="shared" si="229"/>
        <v/>
      </c>
      <c r="X171" s="98">
        <f t="shared" ref="X171:Y171" si="230" xml:space="preserve"> IF( X$19 &lt;&gt; 0, X$17 * thousand * X55 / hundred / X$19, "")</f>
        <v>0</v>
      </c>
      <c r="Y171" s="98" t="str">
        <f t="shared" si="230"/>
        <v/>
      </c>
    </row>
    <row r="172" spans="2:27" x14ac:dyDescent="0.25">
      <c r="E172" s="28"/>
      <c r="F172" t="s">
        <v>158</v>
      </c>
      <c r="G172" s="13" t="s">
        <v>901</v>
      </c>
      <c r="H172" s="102"/>
      <c r="J172" s="98">
        <f t="shared" ref="J172:K172" si="231" xml:space="preserve"> IF( J$19 &lt;&gt; 0, J$18 * thousand * J56 / hundred / J$19, "")</f>
        <v>12.507428629155248</v>
      </c>
      <c r="K172" s="98" t="str">
        <f t="shared" si="231"/>
        <v/>
      </c>
      <c r="L172" s="98">
        <f t="shared" ref="L172:M172" si="232" xml:space="preserve"> IF( L$19 &lt;&gt; 0, L$18 * thousand * L56 / hundred / L$19, "")</f>
        <v>51.327154545981998</v>
      </c>
      <c r="M172" s="98" t="str">
        <f t="shared" si="232"/>
        <v/>
      </c>
      <c r="N172" s="98">
        <f t="shared" ref="N172:P172" si="233" xml:space="preserve"> IF( N$19 &lt;&gt; 0, N$18 * thousand * N56 / hundred / N$19, "")</f>
        <v>639.66368011137592</v>
      </c>
      <c r="O172" s="98">
        <f t="shared" si="233"/>
        <v>0</v>
      </c>
      <c r="P172" s="98">
        <f t="shared" si="233"/>
        <v>0</v>
      </c>
      <c r="Q172" s="98">
        <f t="shared" ref="Q172:S172" si="234" xml:space="preserve"> IF( Q$19 &lt;&gt; 0, Q$18 * thousand * Q56 / hundred / Q$19, "")</f>
        <v>61377.631810276376</v>
      </c>
      <c r="R172" s="98" t="str">
        <f t="shared" si="234"/>
        <v/>
      </c>
      <c r="S172" s="98" t="str">
        <f t="shared" si="234"/>
        <v/>
      </c>
      <c r="T172" s="98">
        <f t="shared" ref="T172:U172" si="235" xml:space="preserve"> IF( T$19 &lt;&gt; 0, T$18 * thousand * T56 / hundred / T$19, "")</f>
        <v>-11.915638168078409</v>
      </c>
      <c r="U172" s="98" t="str">
        <f t="shared" si="235"/>
        <v/>
      </c>
      <c r="V172" s="98">
        <f t="shared" ref="V172:W172" si="236" xml:space="preserve"> IF( V$19 &lt;&gt; 0, V$18 * thousand * V56 / hundred / V$19, "")</f>
        <v>0</v>
      </c>
      <c r="W172" s="98" t="str">
        <f t="shared" si="236"/>
        <v/>
      </c>
      <c r="X172" s="98">
        <f t="shared" ref="X172:Y172" si="237" xml:space="preserve"> IF( X$19 &lt;&gt; 0, X$18 * thousand * X56 / hundred / X$19, "")</f>
        <v>0</v>
      </c>
      <c r="Y172" s="98" t="str">
        <f t="shared" si="237"/>
        <v/>
      </c>
    </row>
    <row r="173" spans="2:27" x14ac:dyDescent="0.25">
      <c r="E173" s="28"/>
      <c r="F173" s="23" t="s">
        <v>159</v>
      </c>
      <c r="G173" s="85" t="s">
        <v>901</v>
      </c>
      <c r="H173" s="222"/>
      <c r="I173" s="23"/>
      <c r="J173" s="126">
        <f t="shared" ref="J173:K173" si="238" xml:space="preserve"> IF( J$19 &lt;&gt; 0, J$19 * J57 * days_in_year / hundred / J$19, "")</f>
        <v>9.6724999999999994</v>
      </c>
      <c r="K173" s="126" t="str">
        <f t="shared" si="238"/>
        <v/>
      </c>
      <c r="L173" s="126">
        <f t="shared" ref="L173:M173" si="239" xml:space="preserve"> IF( L$19 &lt;&gt; 0, L$19 * L57 * days_in_year / hundred / L$19, "")</f>
        <v>19.053000000000001</v>
      </c>
      <c r="M173" s="126" t="str">
        <f t="shared" si="239"/>
        <v/>
      </c>
      <c r="N173" s="126">
        <f t="shared" ref="N173:P173" si="240" xml:space="preserve"> IF( N$19 &lt;&gt; 0, N$19 * N57 * days_in_year / hundred / N$19, "")</f>
        <v>29.017500000000002</v>
      </c>
      <c r="O173" s="126">
        <f t="shared" si="240"/>
        <v>0</v>
      </c>
      <c r="P173" s="126">
        <f t="shared" si="240"/>
        <v>0</v>
      </c>
      <c r="Q173" s="126">
        <f t="shared" ref="Q173:S173" si="241" xml:space="preserve"> IF( Q$19 &lt;&gt; 0, Q$19 * Q57 * days_in_year / hundred / Q$19, "")</f>
        <v>0</v>
      </c>
      <c r="R173" s="126" t="str">
        <f t="shared" si="241"/>
        <v/>
      </c>
      <c r="S173" s="126" t="str">
        <f t="shared" si="241"/>
        <v/>
      </c>
      <c r="T173" s="126">
        <f t="shared" ref="T173:U173" si="242" xml:space="preserve"> IF( T$19 &lt;&gt; 0, T$19 * T57 * days_in_year / hundred / T$19, "")</f>
        <v>0</v>
      </c>
      <c r="U173" s="126" t="str">
        <f t="shared" si="242"/>
        <v/>
      </c>
      <c r="V173" s="126">
        <f t="shared" ref="V173:W173" si="243" xml:space="preserve"> IF( V$19 &lt;&gt; 0, V$19 * V57 * days_in_year / hundred / V$19, "")</f>
        <v>0</v>
      </c>
      <c r="W173" s="126" t="str">
        <f t="shared" si="243"/>
        <v/>
      </c>
      <c r="X173" s="126">
        <f t="shared" ref="X173:Y173" si="244" xml:space="preserve"> IF( X$19 &lt;&gt; 0, X$19 * X57 * days_in_year / hundred / X$19, "")</f>
        <v>0</v>
      </c>
      <c r="Y173" s="126" t="str">
        <f t="shared" si="244"/>
        <v/>
      </c>
    </row>
    <row r="174" spans="2:27" x14ac:dyDescent="0.25">
      <c r="E174" s="28"/>
      <c r="F174" t="s">
        <v>160</v>
      </c>
      <c r="G174" s="13" t="s">
        <v>901</v>
      </c>
      <c r="H174" s="102"/>
      <c r="J174" s="98">
        <f t="shared" ref="J174:K174" si="245" xml:space="preserve"> IF( J$19 &lt;&gt; 0, J$20 * J58 * days_in_year / hundred / J$19, "")</f>
        <v>0</v>
      </c>
      <c r="K174" s="98" t="str">
        <f t="shared" si="245"/>
        <v/>
      </c>
      <c r="L174" s="98">
        <f t="shared" ref="L174:M174" si="246" xml:space="preserve"> IF( L$19 &lt;&gt; 0, L$20 * L58 * days_in_year / hundred / L$19, "")</f>
        <v>0</v>
      </c>
      <c r="M174" s="98" t="str">
        <f t="shared" si="246"/>
        <v/>
      </c>
      <c r="N174" s="98">
        <f t="shared" ref="N174:P174" si="247" xml:space="preserve"> IF( N$19 &lt;&gt; 0, N$20 * N58 * days_in_year / hundred / N$19, "")</f>
        <v>975.6948405268181</v>
      </c>
      <c r="O174" s="98">
        <f t="shared" si="247"/>
        <v>0</v>
      </c>
      <c r="P174" s="98">
        <f t="shared" si="247"/>
        <v>0</v>
      </c>
      <c r="Q174" s="98">
        <f t="shared" ref="Q174:S174" si="248" xml:space="preserve"> IF( Q$19 &lt;&gt; 0, Q$20 * Q58 * days_in_year / hundred / Q$19, "")</f>
        <v>0</v>
      </c>
      <c r="R174" s="98" t="str">
        <f t="shared" si="248"/>
        <v/>
      </c>
      <c r="S174" s="98" t="str">
        <f t="shared" si="248"/>
        <v/>
      </c>
      <c r="T174" s="98">
        <f t="shared" ref="T174:U174" si="249" xml:space="preserve"> IF( T$19 &lt;&gt; 0, T$20 * T58 * days_in_year / hundred / T$19, "")</f>
        <v>0</v>
      </c>
      <c r="U174" s="98" t="str">
        <f t="shared" si="249"/>
        <v/>
      </c>
      <c r="V174" s="98">
        <f t="shared" ref="V174:W174" si="250" xml:space="preserve"> IF( V$19 &lt;&gt; 0, V$20 * V58 * days_in_year / hundred / V$19, "")</f>
        <v>0</v>
      </c>
      <c r="W174" s="98" t="str">
        <f t="shared" si="250"/>
        <v/>
      </c>
      <c r="X174" s="98">
        <f t="shared" ref="X174:Y174" si="251" xml:space="preserve"> IF( X$19 &lt;&gt; 0, X$20 * X58 * days_in_year / hundred / X$19, "")</f>
        <v>0</v>
      </c>
      <c r="Y174" s="98" t="str">
        <f t="shared" si="251"/>
        <v/>
      </c>
    </row>
    <row r="175" spans="2:27" x14ac:dyDescent="0.25">
      <c r="E175" s="28"/>
      <c r="F175" t="s">
        <v>161</v>
      </c>
      <c r="G175" s="13" t="s">
        <v>901</v>
      </c>
      <c r="H175" s="102"/>
      <c r="J175" s="98">
        <f t="shared" ref="J175:K175" si="252" xml:space="preserve"> IF( J$19 &lt;&gt; 0, J$21 * J59 * days_in_year / hundred / J$19, "")</f>
        <v>0</v>
      </c>
      <c r="K175" s="98" t="str">
        <f t="shared" si="252"/>
        <v/>
      </c>
      <c r="L175" s="98">
        <f t="shared" ref="L175:M175" si="253" xml:space="preserve"> IF( L$19 &lt;&gt; 0, L$21 * L59 * days_in_year / hundred / L$19, "")</f>
        <v>0</v>
      </c>
      <c r="M175" s="98" t="str">
        <f t="shared" si="253"/>
        <v/>
      </c>
      <c r="N175" s="98">
        <f t="shared" ref="N175:P175" si="254" xml:space="preserve"> IF( N$19 &lt;&gt; 0, N$21 * N59 * days_in_year / hundred / N$19, "")</f>
        <v>33.704517710112199</v>
      </c>
      <c r="O175" s="98">
        <f t="shared" si="254"/>
        <v>0</v>
      </c>
      <c r="P175" s="98">
        <f t="shared" si="254"/>
        <v>0</v>
      </c>
      <c r="Q175" s="98">
        <f t="shared" ref="Q175:S175" si="255" xml:space="preserve"> IF( Q$19 &lt;&gt; 0, Q$21 * Q59 * days_in_year / hundred / Q$19, "")</f>
        <v>0</v>
      </c>
      <c r="R175" s="98" t="str">
        <f t="shared" si="255"/>
        <v/>
      </c>
      <c r="S175" s="98" t="str">
        <f t="shared" si="255"/>
        <v/>
      </c>
      <c r="T175" s="98">
        <f t="shared" ref="T175:U175" si="256" xml:space="preserve"> IF( T$19 &lt;&gt; 0, T$21 * T59 * days_in_year / hundred / T$19, "")</f>
        <v>0</v>
      </c>
      <c r="U175" s="98" t="str">
        <f t="shared" si="256"/>
        <v/>
      </c>
      <c r="V175" s="98">
        <f t="shared" ref="V175:W175" si="257" xml:space="preserve"> IF( V$19 &lt;&gt; 0, V$21 * V59 * days_in_year / hundred / V$19, "")</f>
        <v>0</v>
      </c>
      <c r="W175" s="98" t="str">
        <f t="shared" si="257"/>
        <v/>
      </c>
      <c r="X175" s="98">
        <f t="shared" ref="X175:Y175" si="258" xml:space="preserve"> IF( X$19 &lt;&gt; 0, X$21 * X59 * days_in_year / hundred / X$19, "")</f>
        <v>0</v>
      </c>
      <c r="Y175" s="98" t="str">
        <f t="shared" si="258"/>
        <v/>
      </c>
    </row>
    <row r="176" spans="2:27" x14ac:dyDescent="0.25">
      <c r="E176" s="28"/>
      <c r="F176" s="23" t="s">
        <v>162</v>
      </c>
      <c r="G176" s="85" t="s">
        <v>901</v>
      </c>
      <c r="H176" s="222"/>
      <c r="I176" s="23"/>
      <c r="J176" s="126">
        <f t="shared" ref="J176:K176" si="259" xml:space="preserve"> IF( J$19 &lt;&gt; 0, J$22 * thousand * J60 / hundred / J$19, "")</f>
        <v>0</v>
      </c>
      <c r="K176" s="126" t="str">
        <f t="shared" si="259"/>
        <v/>
      </c>
      <c r="L176" s="126">
        <f t="shared" ref="L176:M176" si="260" xml:space="preserve"> IF( L$19 &lt;&gt; 0, L$22 * thousand * L60 / hundred / L$19, "")</f>
        <v>0</v>
      </c>
      <c r="M176" s="126" t="str">
        <f t="shared" si="260"/>
        <v/>
      </c>
      <c r="N176" s="126">
        <f t="shared" ref="N176:P176" si="261" xml:space="preserve"> IF( N$19 &lt;&gt; 0, N$22 * thousand * N60 / hundred / N$19, "")</f>
        <v>25.449657184613269</v>
      </c>
      <c r="O176" s="126">
        <f t="shared" si="261"/>
        <v>0</v>
      </c>
      <c r="P176" s="126">
        <f t="shared" si="261"/>
        <v>0</v>
      </c>
      <c r="Q176" s="126">
        <f t="shared" ref="Q176:S176" si="262" xml:space="preserve"> IF( Q$19 &lt;&gt; 0, Q$22 * thousand * Q60 / hundred / Q$19, "")</f>
        <v>0</v>
      </c>
      <c r="R176" s="126" t="str">
        <f t="shared" si="262"/>
        <v/>
      </c>
      <c r="S176" s="126" t="str">
        <f t="shared" si="262"/>
        <v/>
      </c>
      <c r="T176" s="126">
        <f t="shared" ref="T176:U176" si="263" xml:space="preserve"> IF( T$19 &lt;&gt; 0, T$22 * thousand * T60 / hundred / T$19, "")</f>
        <v>7.868737582037225</v>
      </c>
      <c r="U176" s="126" t="str">
        <f t="shared" si="263"/>
        <v/>
      </c>
      <c r="V176" s="126">
        <f t="shared" ref="V176:W176" si="264" xml:space="preserve"> IF( V$19 &lt;&gt; 0, V$22 * thousand * V60 / hundred / V$19, "")</f>
        <v>0</v>
      </c>
      <c r="W176" s="126" t="str">
        <f t="shared" si="264"/>
        <v/>
      </c>
      <c r="X176" s="126">
        <f t="shared" ref="X176:Y176" si="265" xml:space="preserve"> IF( X$19 &lt;&gt; 0, X$22 * thousand * X60 / hundred / X$19, "")</f>
        <v>0</v>
      </c>
      <c r="Y176" s="126" t="str">
        <f t="shared" si="265"/>
        <v/>
      </c>
    </row>
    <row r="177" spans="3:27" x14ac:dyDescent="0.25">
      <c r="E177" s="28"/>
      <c r="F177" s="108" t="s">
        <v>100</v>
      </c>
      <c r="G177" s="218" t="s">
        <v>901</v>
      </c>
      <c r="H177" s="223"/>
      <c r="I177" s="108"/>
      <c r="J177" s="153">
        <f t="shared" ref="J177:K177" si="266">SUM(J170:J176)</f>
        <v>61.062257749879002</v>
      </c>
      <c r="K177" s="153">
        <f t="shared" si="266"/>
        <v>0</v>
      </c>
      <c r="L177" s="153">
        <f t="shared" ref="L177:M177" si="267">SUM(L170:L176)</f>
        <v>252.08932655075171</v>
      </c>
      <c r="M177" s="153">
        <f t="shared" si="267"/>
        <v>0</v>
      </c>
      <c r="N177" s="153">
        <f t="shared" ref="N177:P177" si="268">SUM(N170:N176)</f>
        <v>3538.8382075768232</v>
      </c>
      <c r="O177" s="153">
        <f t="shared" si="268"/>
        <v>0</v>
      </c>
      <c r="P177" s="153">
        <f t="shared" si="268"/>
        <v>0</v>
      </c>
      <c r="Q177" s="153">
        <f t="shared" ref="Q177:S177" si="269">SUM(Q170:Q176)</f>
        <v>134945.77223970299</v>
      </c>
      <c r="R177" s="153">
        <f t="shared" si="269"/>
        <v>0</v>
      </c>
      <c r="S177" s="153">
        <f t="shared" si="269"/>
        <v>0</v>
      </c>
      <c r="T177" s="153">
        <f t="shared" ref="T177:U177" si="270">SUM(T170:T176)</f>
        <v>-480.57067070724298</v>
      </c>
      <c r="U177" s="153">
        <f t="shared" si="270"/>
        <v>0</v>
      </c>
      <c r="V177" s="153">
        <f t="shared" ref="V177:W177" si="271">SUM(V170:V176)</f>
        <v>0</v>
      </c>
      <c r="W177" s="153">
        <f t="shared" si="271"/>
        <v>0</v>
      </c>
      <c r="X177" s="153">
        <f t="shared" ref="X177:Y177" si="272">SUM(X170:X176)</f>
        <v>0</v>
      </c>
      <c r="Y177" s="153">
        <f t="shared" si="272"/>
        <v>0</v>
      </c>
    </row>
    <row r="178" spans="3:27" x14ac:dyDescent="0.25">
      <c r="D178" s="28"/>
      <c r="G178" s="13"/>
      <c r="J178" s="89"/>
      <c r="K178" s="89"/>
      <c r="L178" s="89"/>
      <c r="M178" s="89"/>
      <c r="N178" s="89"/>
      <c r="O178" s="89"/>
      <c r="P178" s="89"/>
      <c r="Q178" s="89"/>
      <c r="R178" s="89"/>
      <c r="S178" s="89"/>
      <c r="T178" s="89"/>
      <c r="U178" s="89"/>
      <c r="V178" s="89"/>
      <c r="W178" s="89"/>
      <c r="X178" s="89"/>
      <c r="Y178" s="89"/>
    </row>
    <row r="179" spans="3:27" x14ac:dyDescent="0.25">
      <c r="E179" s="32" t="s">
        <v>902</v>
      </c>
      <c r="G179" s="13"/>
      <c r="H179" s="128"/>
      <c r="J179" s="89"/>
      <c r="K179" s="89"/>
      <c r="L179" s="89"/>
      <c r="M179" s="89"/>
      <c r="N179" s="89"/>
      <c r="O179" s="89"/>
      <c r="P179" s="89"/>
      <c r="Q179" s="89"/>
      <c r="R179" s="89"/>
      <c r="S179" s="89"/>
      <c r="T179" s="89"/>
      <c r="U179" s="89"/>
      <c r="V179" s="89"/>
      <c r="W179" s="89"/>
      <c r="X179" s="89"/>
      <c r="Y179" s="89"/>
    </row>
    <row r="180" spans="3:27" x14ac:dyDescent="0.25">
      <c r="E180" s="29" t="s">
        <v>903</v>
      </c>
      <c r="J180" s="89"/>
      <c r="K180" s="89"/>
      <c r="L180" s="89"/>
      <c r="M180" s="89"/>
      <c r="N180" s="89"/>
      <c r="O180" s="89"/>
      <c r="P180" s="89"/>
      <c r="Q180" s="89"/>
      <c r="R180" s="89"/>
      <c r="S180" s="89"/>
      <c r="T180" s="89"/>
      <c r="U180" s="89"/>
      <c r="V180" s="89"/>
      <c r="W180" s="89"/>
      <c r="X180" s="89"/>
      <c r="Y180" s="89"/>
    </row>
    <row r="181" spans="3:27" x14ac:dyDescent="0.25">
      <c r="C181" s="88"/>
      <c r="F181" s="23" t="s">
        <v>156</v>
      </c>
      <c r="G181" s="85" t="s">
        <v>901</v>
      </c>
      <c r="H181" s="222"/>
      <c r="I181" s="23"/>
      <c r="J181" s="126">
        <f t="shared" ref="J181:K181" si="273" xml:space="preserve"> IF( J$19 &lt;&gt; 0, J$16 * thousand * J63 / hundred / J$19,"")</f>
        <v>18.919649690374424</v>
      </c>
      <c r="K181" s="126" t="str">
        <f t="shared" si="273"/>
        <v/>
      </c>
      <c r="L181" s="126">
        <f t="shared" ref="L181:M181" si="274" xml:space="preserve"> IF( L$19 &lt;&gt; 0, L$16 * thousand * L63 / hundred / L$19,"")</f>
        <v>74.820548876961084</v>
      </c>
      <c r="M181" s="126" t="str">
        <f t="shared" si="274"/>
        <v/>
      </c>
      <c r="N181" s="126">
        <f t="shared" ref="N181:P181" si="275" xml:space="preserve"> IF( N$19 &lt;&gt; 0, N$16 * thousand * N63 / hundred / N$19,"")</f>
        <v>703.42043543999512</v>
      </c>
      <c r="O181" s="126">
        <f t="shared" si="275"/>
        <v>1985.2780629505378</v>
      </c>
      <c r="P181" s="126">
        <f t="shared" si="275"/>
        <v>5416.0148568138247</v>
      </c>
      <c r="Q181" s="126">
        <f t="shared" ref="Q181:S181" si="276" xml:space="preserve"> IF( Q$19 &lt;&gt; 0, Q$16 * thousand * Q63 / hundred / Q$19,"")</f>
        <v>37220.609023789577</v>
      </c>
      <c r="R181" s="126" t="str">
        <f t="shared" si="276"/>
        <v/>
      </c>
      <c r="S181" s="126" t="str">
        <f t="shared" si="276"/>
        <v/>
      </c>
      <c r="T181" s="126">
        <f t="shared" ref="T181:U181" si="277" xml:space="preserve"> IF( T$19 &lt;&gt; 0, T$16 * thousand * T63 / hundred / T$19,"")</f>
        <v>-293.02327560216776</v>
      </c>
      <c r="U181" s="126" t="str">
        <f t="shared" si="277"/>
        <v/>
      </c>
      <c r="V181" s="126">
        <f t="shared" ref="V181:W181" si="278" xml:space="preserve"> IF( V$19 &lt;&gt; 0, V$16 * thousand * V63 / hundred / V$19,"")</f>
        <v>-485.65196719242579</v>
      </c>
      <c r="W181" s="126" t="str">
        <f t="shared" si="278"/>
        <v/>
      </c>
      <c r="X181" s="126">
        <f t="shared" ref="X181:Y181" si="279" xml:space="preserve"> IF( X$19 &lt;&gt; 0, X$16 * thousand * X63 / hundred / X$19,"")</f>
        <v>-13475.275259050472</v>
      </c>
      <c r="Y181" s="126" t="str">
        <f t="shared" si="279"/>
        <v/>
      </c>
    </row>
    <row r="182" spans="3:27" x14ac:dyDescent="0.25">
      <c r="C182" s="88"/>
      <c r="F182" t="s">
        <v>157</v>
      </c>
      <c r="G182" s="13" t="s">
        <v>901</v>
      </c>
      <c r="H182" s="102"/>
      <c r="J182" s="98">
        <f t="shared" ref="J182:K182" si="280" xml:space="preserve"> IF( J$19 &lt;&gt; 0, J$17 * thousand * J64 / hundred / J$19, "")</f>
        <v>11.986479349699973</v>
      </c>
      <c r="K182" s="98" t="str">
        <f t="shared" si="280"/>
        <v/>
      </c>
      <c r="L182" s="98">
        <f t="shared" ref="L182:M182" si="281" xml:space="preserve"> IF( L$19 &lt;&gt; 0, L$17 * thousand * L64 / hundred / L$19, "")</f>
        <v>69.53864951153983</v>
      </c>
      <c r="M182" s="98" t="str">
        <f t="shared" si="281"/>
        <v/>
      </c>
      <c r="N182" s="98">
        <f t="shared" ref="N182:P182" si="282" xml:space="preserve"> IF( N$19 &lt;&gt; 0, N$17 * thousand * N64 / hundred / N$19, "")</f>
        <v>755.25906318402338</v>
      </c>
      <c r="O182" s="98">
        <f t="shared" si="282"/>
        <v>2183.8732541483973</v>
      </c>
      <c r="P182" s="98">
        <f t="shared" si="282"/>
        <v>7594.7365239680039</v>
      </c>
      <c r="Q182" s="98">
        <f t="shared" ref="Q182:S182" si="283" xml:space="preserve"> IF( Q$19 &lt;&gt; 0, Q$17 * thousand * Q64 / hundred / Q$19, "")</f>
        <v>21239.565265863461</v>
      </c>
      <c r="R182" s="98" t="str">
        <f t="shared" si="283"/>
        <v/>
      </c>
      <c r="S182" s="98" t="str">
        <f t="shared" si="283"/>
        <v/>
      </c>
      <c r="T182" s="98">
        <f t="shared" ref="T182:U182" si="284" xml:space="preserve"> IF( T$19 &lt;&gt; 0, T$17 * thousand * T64 / hundred / T$19, "")</f>
        <v>-183.50049451903402</v>
      </c>
      <c r="U182" s="98" t="str">
        <f t="shared" si="284"/>
        <v/>
      </c>
      <c r="V182" s="98">
        <f t="shared" ref="V182:W182" si="285" xml:space="preserve"> IF( V$19 &lt;&gt; 0, V$17 * thousand * V64 / hundred / V$19, "")</f>
        <v>-236.05219915832967</v>
      </c>
      <c r="W182" s="98" t="str">
        <f t="shared" si="285"/>
        <v/>
      </c>
      <c r="X182" s="98">
        <f t="shared" ref="X182:Y182" si="286" xml:space="preserve"> IF( X$19 &lt;&gt; 0, X$17 * thousand * X64 / hundred / X$19, "")</f>
        <v>-3521.7622227184715</v>
      </c>
      <c r="Y182" s="98" t="str">
        <f t="shared" si="286"/>
        <v/>
      </c>
    </row>
    <row r="183" spans="3:27" x14ac:dyDescent="0.25">
      <c r="C183" s="88"/>
      <c r="F183" t="s">
        <v>158</v>
      </c>
      <c r="G183" s="13" t="s">
        <v>901</v>
      </c>
      <c r="H183" s="102"/>
      <c r="J183" s="98">
        <f t="shared" ref="J183:K183" si="287" xml:space="preserve"> IF( J$19 &lt;&gt; 0, J$18 * thousand * J65 / hundred / J$19, "")</f>
        <v>9.9289741117601658</v>
      </c>
      <c r="K183" s="98" t="str">
        <f t="shared" si="287"/>
        <v/>
      </c>
      <c r="L183" s="98">
        <f t="shared" ref="L183:M183" si="288" xml:space="preserve"> IF( L$19 &lt;&gt; 0, L$18 * thousand * L65 / hundred / L$19, "")</f>
        <v>40.806681875066431</v>
      </c>
      <c r="M183" s="98" t="str">
        <f t="shared" si="288"/>
        <v/>
      </c>
      <c r="N183" s="98">
        <f t="shared" ref="N183:P183" si="289" xml:space="preserve"> IF( N$19 &lt;&gt; 0, N$18 * thousand * N65 / hundred / N$19, "")</f>
        <v>508.08729021504871</v>
      </c>
      <c r="O183" s="98">
        <f t="shared" si="289"/>
        <v>1792.1264773970684</v>
      </c>
      <c r="P183" s="98">
        <f t="shared" si="289"/>
        <v>8970.6082146702283</v>
      </c>
      <c r="Q183" s="98">
        <f t="shared" ref="Q183:S183" si="290" xml:space="preserve"> IF( Q$19 &lt;&gt; 0, Q$18 * thousand * Q65 / hundred / Q$19, "")</f>
        <v>48753.135635252969</v>
      </c>
      <c r="R183" s="98" t="str">
        <f t="shared" si="290"/>
        <v/>
      </c>
      <c r="S183" s="98" t="str">
        <f t="shared" si="290"/>
        <v/>
      </c>
      <c r="T183" s="98">
        <f t="shared" ref="T183:U183" si="291" xml:space="preserve"> IF( T$19 &lt;&gt; 0, T$18 * thousand * T65 / hundred / T$19, "")</f>
        <v>-11.915638168078409</v>
      </c>
      <c r="U183" s="98" t="str">
        <f t="shared" si="291"/>
        <v/>
      </c>
      <c r="V183" s="98">
        <f t="shared" ref="V183:W183" si="292" xml:space="preserve"> IF( V$19 &lt;&gt; 0, V$18 * thousand * V65 / hundred / V$19, "")</f>
        <v>-24.527474500323855</v>
      </c>
      <c r="W183" s="98" t="str">
        <f t="shared" si="292"/>
        <v/>
      </c>
      <c r="X183" s="98">
        <f t="shared" ref="X183:Y183" si="293" xml:space="preserve"> IF( X$19 &lt;&gt; 0, X$18 * thousand * X65 / hundred / X$19, "")</f>
        <v>-223.68554170920117</v>
      </c>
      <c r="Y183" s="98" t="str">
        <f t="shared" si="293"/>
        <v/>
      </c>
    </row>
    <row r="184" spans="3:27" x14ac:dyDescent="0.25">
      <c r="C184" s="88"/>
      <c r="F184" s="23" t="s">
        <v>159</v>
      </c>
      <c r="G184" s="85" t="s">
        <v>901</v>
      </c>
      <c r="H184" s="222"/>
      <c r="I184" s="23"/>
      <c r="J184" s="126">
        <f t="shared" ref="J184:K184" si="294" xml:space="preserve"> IF( J$19 &lt;&gt; 0, J$19 * J66 * days_in_year / hundred / J$19, "")</f>
        <v>7.8109999999999991</v>
      </c>
      <c r="K184" s="126" t="str">
        <f t="shared" si="294"/>
        <v/>
      </c>
      <c r="L184" s="126">
        <f t="shared" ref="L184:M184" si="295" xml:space="preserve"> IF( L$19 &lt;&gt; 0, L$19 * L66 * days_in_year / hundred / L$19, "")</f>
        <v>15.256999999999996</v>
      </c>
      <c r="M184" s="126" t="str">
        <f t="shared" si="295"/>
        <v/>
      </c>
      <c r="N184" s="126">
        <f t="shared" ref="N184:P184" si="296" xml:space="preserve"> IF( N$19 &lt;&gt; 0, N$19 * N66 * days_in_year / hundred / N$19, "")</f>
        <v>23.177499999999998</v>
      </c>
      <c r="O184" s="126">
        <f t="shared" si="296"/>
        <v>26.352999999999998</v>
      </c>
      <c r="P184" s="126">
        <f t="shared" si="296"/>
        <v>270.46499999999997</v>
      </c>
      <c r="Q184" s="126">
        <f t="shared" ref="Q184:S184" si="297" xml:space="preserve"> IF( Q$19 &lt;&gt; 0, Q$19 * Q66 * days_in_year / hundred / Q$19, "")</f>
        <v>0</v>
      </c>
      <c r="R184" s="126" t="str">
        <f t="shared" si="297"/>
        <v/>
      </c>
      <c r="S184" s="126" t="str">
        <f t="shared" si="297"/>
        <v/>
      </c>
      <c r="T184" s="126">
        <f t="shared" ref="T184:U184" si="298" xml:space="preserve"> IF( T$19 &lt;&gt; 0, T$19 * T66 * days_in_year / hundred / T$19, "")</f>
        <v>0</v>
      </c>
      <c r="U184" s="126" t="str">
        <f t="shared" si="298"/>
        <v/>
      </c>
      <c r="V184" s="126">
        <f t="shared" ref="V184:W184" si="299" xml:space="preserve"> IF( V$19 &lt;&gt; 0, V$19 * V66 * days_in_year / hundred / V$19, "")</f>
        <v>0</v>
      </c>
      <c r="W184" s="126" t="str">
        <f t="shared" si="299"/>
        <v/>
      </c>
      <c r="X184" s="126">
        <f t="shared" ref="X184:Y184" si="300" xml:space="preserve"> IF( X$19 &lt;&gt; 0, X$19 * X66 * days_in_year / hundred / X$19, "")</f>
        <v>0</v>
      </c>
      <c r="Y184" s="126" t="str">
        <f t="shared" si="300"/>
        <v/>
      </c>
    </row>
    <row r="185" spans="3:27" x14ac:dyDescent="0.25">
      <c r="C185" s="88"/>
      <c r="F185" t="s">
        <v>160</v>
      </c>
      <c r="G185" s="13" t="s">
        <v>901</v>
      </c>
      <c r="H185" s="102"/>
      <c r="J185" s="98">
        <f t="shared" ref="J185:K185" si="301" xml:space="preserve"> IF( J$19 &lt;&gt; 0, J$20 * J67 * days_in_year / hundred / J$19, "")</f>
        <v>0</v>
      </c>
      <c r="K185" s="98" t="str">
        <f t="shared" si="301"/>
        <v/>
      </c>
      <c r="L185" s="98">
        <f t="shared" ref="L185:M185" si="302" xml:space="preserve"> IF( L$19 &lt;&gt; 0, L$20 * L67 * days_in_year / hundred / L$19, "")</f>
        <v>0</v>
      </c>
      <c r="M185" s="98" t="str">
        <f t="shared" si="302"/>
        <v/>
      </c>
      <c r="N185" s="98">
        <f t="shared" ref="N185:P185" si="303" xml:space="preserve"> IF( N$19 &lt;&gt; 0, N$20 * N67 * days_in_year / hundred / N$19, "")</f>
        <v>772.82759645688566</v>
      </c>
      <c r="O185" s="98">
        <f t="shared" si="303"/>
        <v>3295.1258633314183</v>
      </c>
      <c r="P185" s="98">
        <f t="shared" si="303"/>
        <v>11592.575009458607</v>
      </c>
      <c r="Q185" s="98">
        <f t="shared" ref="Q185:S185" si="304" xml:space="preserve"> IF( Q$19 &lt;&gt; 0, Q$20 * Q67 * days_in_year / hundred / Q$19, "")</f>
        <v>0</v>
      </c>
      <c r="R185" s="98" t="str">
        <f t="shared" si="304"/>
        <v/>
      </c>
      <c r="S185" s="98" t="str">
        <f t="shared" si="304"/>
        <v/>
      </c>
      <c r="T185" s="98">
        <f t="shared" ref="T185:U185" si="305" xml:space="preserve"> IF( T$19 &lt;&gt; 0, T$20 * T67 * days_in_year / hundred / T$19, "")</f>
        <v>0</v>
      </c>
      <c r="U185" s="98" t="str">
        <f t="shared" si="305"/>
        <v/>
      </c>
      <c r="V185" s="98">
        <f t="shared" ref="V185:W185" si="306" xml:space="preserve"> IF( V$19 &lt;&gt; 0, V$20 * V67 * days_in_year / hundred / V$19, "")</f>
        <v>0</v>
      </c>
      <c r="W185" s="98" t="str">
        <f t="shared" si="306"/>
        <v/>
      </c>
      <c r="X185" s="98">
        <f t="shared" ref="X185:Y185" si="307" xml:space="preserve"> IF( X$19 &lt;&gt; 0, X$20 * X67 * days_in_year / hundred / X$19, "")</f>
        <v>0</v>
      </c>
      <c r="Y185" s="98" t="str">
        <f t="shared" si="307"/>
        <v/>
      </c>
    </row>
    <row r="186" spans="3:27" x14ac:dyDescent="0.25">
      <c r="C186" s="88"/>
      <c r="F186" t="s">
        <v>161</v>
      </c>
      <c r="G186" s="13" t="s">
        <v>901</v>
      </c>
      <c r="H186" s="102"/>
      <c r="J186" s="98">
        <f t="shared" ref="J186:K186" si="308" xml:space="preserve"> IF( J$19 &lt;&gt; 0, J$21 * J68 * days_in_year / hundred / J$19, "")</f>
        <v>0</v>
      </c>
      <c r="K186" s="98" t="str">
        <f t="shared" si="308"/>
        <v/>
      </c>
      <c r="L186" s="98">
        <f t="shared" ref="L186:M186" si="309" xml:space="preserve"> IF( L$19 &lt;&gt; 0, L$21 * L68 * days_in_year / hundred / L$19, "")</f>
        <v>0</v>
      </c>
      <c r="M186" s="98" t="str">
        <f t="shared" si="309"/>
        <v/>
      </c>
      <c r="N186" s="98">
        <f t="shared" ref="N186:P186" si="310" xml:space="preserve"> IF( N$19 &lt;&gt; 0, N$21 * N68 * days_in_year / hundred / N$19, "")</f>
        <v>26.795091579539204</v>
      </c>
      <c r="O186" s="98">
        <f t="shared" si="310"/>
        <v>78.445887272722828</v>
      </c>
      <c r="P186" s="98">
        <f t="shared" si="310"/>
        <v>279.96813263387139</v>
      </c>
      <c r="Q186" s="98">
        <f t="shared" ref="Q186:S186" si="311" xml:space="preserve"> IF( Q$19 &lt;&gt; 0, Q$21 * Q68 * days_in_year / hundred / Q$19, "")</f>
        <v>0</v>
      </c>
      <c r="R186" s="98" t="str">
        <f t="shared" si="311"/>
        <v/>
      </c>
      <c r="S186" s="98" t="str">
        <f t="shared" si="311"/>
        <v/>
      </c>
      <c r="T186" s="98">
        <f t="shared" ref="T186:U186" si="312" xml:space="preserve"> IF( T$19 &lt;&gt; 0, T$21 * T68 * days_in_year / hundred / T$19, "")</f>
        <v>0</v>
      </c>
      <c r="U186" s="98" t="str">
        <f t="shared" si="312"/>
        <v/>
      </c>
      <c r="V186" s="98">
        <f t="shared" ref="V186:W186" si="313" xml:space="preserve"> IF( V$19 &lt;&gt; 0, V$21 * V68 * days_in_year / hundred / V$19, "")</f>
        <v>0</v>
      </c>
      <c r="W186" s="98" t="str">
        <f t="shared" si="313"/>
        <v/>
      </c>
      <c r="X186" s="98">
        <f t="shared" ref="X186:Y186" si="314" xml:space="preserve"> IF( X$19 &lt;&gt; 0, X$21 * X68 * days_in_year / hundred / X$19, "")</f>
        <v>0</v>
      </c>
      <c r="Y186" s="98" t="str">
        <f t="shared" si="314"/>
        <v/>
      </c>
    </row>
    <row r="187" spans="3:27" x14ac:dyDescent="0.25">
      <c r="C187" s="88"/>
      <c r="F187" s="23" t="s">
        <v>162</v>
      </c>
      <c r="G187" s="85" t="s">
        <v>901</v>
      </c>
      <c r="H187" s="222"/>
      <c r="I187" s="23"/>
      <c r="J187" s="126">
        <f t="shared" ref="J187:K187" si="315" xml:space="preserve"> IF( J$19 &lt;&gt; 0, J$22 * thousand * J69 / hundred / J$19, "")</f>
        <v>0</v>
      </c>
      <c r="K187" s="126" t="str">
        <f t="shared" si="315"/>
        <v/>
      </c>
      <c r="L187" s="126">
        <f t="shared" ref="L187:M187" si="316" xml:space="preserve"> IF( L$19 &lt;&gt; 0, L$22 * thousand * L69 / hundred / L$19, "")</f>
        <v>0</v>
      </c>
      <c r="M187" s="126" t="str">
        <f t="shared" si="316"/>
        <v/>
      </c>
      <c r="N187" s="126">
        <f t="shared" ref="N187:P187" si="317" xml:space="preserve"> IF( N$19 &lt;&gt; 0, N$22 * thousand * N69 / hundred / N$19, "")</f>
        <v>20.313029129003255</v>
      </c>
      <c r="O187" s="126">
        <f t="shared" si="317"/>
        <v>59.579102824551931</v>
      </c>
      <c r="P187" s="126">
        <f t="shared" si="317"/>
        <v>92.512313921092797</v>
      </c>
      <c r="Q187" s="126">
        <f t="shared" ref="Q187:S187" si="318" xml:space="preserve"> IF( Q$19 &lt;&gt; 0, Q$22 * thousand * Q69 / hundred / Q$19, "")</f>
        <v>0</v>
      </c>
      <c r="R187" s="126" t="str">
        <f t="shared" si="318"/>
        <v/>
      </c>
      <c r="S187" s="126" t="str">
        <f t="shared" si="318"/>
        <v/>
      </c>
      <c r="T187" s="126">
        <f t="shared" ref="T187:U187" si="319" xml:space="preserve"> IF( T$19 &lt;&gt; 0, T$22 * thousand * T69 / hundred / T$19, "")</f>
        <v>7.868737582037225</v>
      </c>
      <c r="U187" s="126" t="str">
        <f t="shared" si="319"/>
        <v/>
      </c>
      <c r="V187" s="126">
        <f t="shared" ref="V187:W187" si="320" xml:space="preserve"> IF( V$19 &lt;&gt; 0, V$22 * thousand * V69 / hundred / V$19, "")</f>
        <v>13.171413761483914</v>
      </c>
      <c r="W187" s="126" t="str">
        <f t="shared" si="320"/>
        <v/>
      </c>
      <c r="X187" s="126">
        <f t="shared" ref="X187:Y187" si="321" xml:space="preserve"> IF( X$19 &lt;&gt; 0, X$22 * thousand * X69 / hundred / X$19, "")</f>
        <v>40.440623501631073</v>
      </c>
      <c r="Y187" s="126" t="str">
        <f t="shared" si="321"/>
        <v/>
      </c>
    </row>
    <row r="188" spans="3:27" x14ac:dyDescent="0.25">
      <c r="C188" s="88"/>
      <c r="F188" s="108" t="s">
        <v>100</v>
      </c>
      <c r="G188" s="218" t="s">
        <v>901</v>
      </c>
      <c r="H188" s="223"/>
      <c r="I188" s="108"/>
      <c r="J188" s="153">
        <f t="shared" ref="J188:K188" si="322">SUM(J181:J187)</f>
        <v>48.646103151834559</v>
      </c>
      <c r="K188" s="153">
        <f t="shared" si="322"/>
        <v>0</v>
      </c>
      <c r="L188" s="153">
        <f t="shared" ref="L188:M188" si="323">SUM(L181:L187)</f>
        <v>200.42288026356735</v>
      </c>
      <c r="M188" s="153">
        <f t="shared" si="323"/>
        <v>0</v>
      </c>
      <c r="N188" s="153">
        <f t="shared" ref="N188:P188" si="324">SUM(N181:N187)</f>
        <v>2809.8800060044946</v>
      </c>
      <c r="O188" s="153">
        <f t="shared" si="324"/>
        <v>9420.7816479246958</v>
      </c>
      <c r="P188" s="153">
        <f t="shared" si="324"/>
        <v>34216.880051465625</v>
      </c>
      <c r="Q188" s="153">
        <f t="shared" ref="Q188:S188" si="325">SUM(Q181:Q187)</f>
        <v>107213.309924906</v>
      </c>
      <c r="R188" s="153">
        <f t="shared" si="325"/>
        <v>0</v>
      </c>
      <c r="S188" s="153">
        <f t="shared" si="325"/>
        <v>0</v>
      </c>
      <c r="T188" s="153">
        <f t="shared" ref="T188:U188" si="326">SUM(T181:T187)</f>
        <v>-480.57067070724298</v>
      </c>
      <c r="U188" s="153">
        <f t="shared" si="326"/>
        <v>0</v>
      </c>
      <c r="V188" s="153">
        <f t="shared" ref="V188:W188" si="327">SUM(V181:V187)</f>
        <v>-733.0602270895954</v>
      </c>
      <c r="W188" s="153">
        <f t="shared" si="327"/>
        <v>0</v>
      </c>
      <c r="X188" s="153">
        <f t="shared" ref="X188:Y188" si="328">SUM(X181:X187)</f>
        <v>-17180.282399976513</v>
      </c>
      <c r="Y188" s="153">
        <f t="shared" si="328"/>
        <v>0</v>
      </c>
    </row>
    <row r="189" spans="3:27" x14ac:dyDescent="0.25">
      <c r="C189" s="88"/>
      <c r="D189" s="2"/>
      <c r="E189" s="2"/>
      <c r="G189" s="13"/>
    </row>
    <row r="190" spans="3:27" x14ac:dyDescent="0.25">
      <c r="C190" s="31" t="str">
        <f ca="1">INDEX('Version control'!$H$34:$H$57,MATCH($A$1,'Version control'!$F$34:$F$57,0),1)&amp;"-K: LDNO margins"</f>
        <v>Section 118-K: LDNO margins</v>
      </c>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row>
    <row r="191" spans="3:27" x14ac:dyDescent="0.25">
      <c r="C191" s="88"/>
      <c r="D191" s="2"/>
      <c r="E191" s="2"/>
      <c r="G191" s="13"/>
    </row>
    <row r="192" spans="3:27" x14ac:dyDescent="0.25">
      <c r="C192" s="88"/>
      <c r="D192" s="2" t="s">
        <v>904</v>
      </c>
      <c r="E192" s="2"/>
      <c r="G192" s="13"/>
    </row>
    <row r="193" spans="2:27" x14ac:dyDescent="0.25">
      <c r="D193" s="32"/>
      <c r="G193" s="13"/>
      <c r="H193" s="128"/>
      <c r="J193" s="63"/>
      <c r="K193" s="63"/>
      <c r="L193" s="63"/>
      <c r="M193" s="63"/>
      <c r="N193" s="63"/>
      <c r="O193" s="63"/>
      <c r="P193" s="63"/>
      <c r="Q193" s="63"/>
      <c r="R193" s="63"/>
      <c r="S193" s="63"/>
      <c r="T193" s="63"/>
      <c r="U193" s="63"/>
      <c r="V193" s="63"/>
      <c r="W193" s="63"/>
      <c r="X193" s="63"/>
      <c r="Y193" s="63"/>
    </row>
    <row r="194" spans="2:27" x14ac:dyDescent="0.25">
      <c r="C194" s="88"/>
      <c r="D194" s="2"/>
      <c r="E194" t="s">
        <v>905</v>
      </c>
      <c r="G194" s="28" t="s">
        <v>167</v>
      </c>
      <c r="J194" s="111">
        <f t="shared" ref="J194:K194" si="329">IF( AND( ISNUMBER(J$128), J$128 &lt;&gt; 0), ( J$128 - J177 ) / J$128, "")</f>
        <v>0.30294549940119725</v>
      </c>
      <c r="K194" s="111" t="str">
        <f t="shared" si="329"/>
        <v/>
      </c>
      <c r="L194" s="111">
        <f t="shared" ref="L194:M194" si="330">IF( AND( ISNUMBER(L$128), L$128 &lt;&gt; 0), ( L$128 - L177 ) / L$128, "")</f>
        <v>0.30455454749049327</v>
      </c>
      <c r="M194" s="111" t="str">
        <f t="shared" si="330"/>
        <v/>
      </c>
      <c r="N194" s="111">
        <f t="shared" ref="N194:P194" si="331">IF( AND( ISNUMBER(N$128), N$128 &lt;&gt; 0), ( N$128 - N177 ) / N$128, "")</f>
        <v>0.30459563399885387</v>
      </c>
      <c r="O194" s="111">
        <f t="shared" si="331"/>
        <v>1</v>
      </c>
      <c r="P194" s="111">
        <f t="shared" si="331"/>
        <v>1</v>
      </c>
      <c r="Q194" s="111">
        <f t="shared" ref="Q194:S194" si="332">IF( AND( ISNUMBER(Q$128), Q$128 &lt;&gt; 0), ( Q$128 - Q177 ) / Q$128, "")</f>
        <v>0.30482414340086011</v>
      </c>
      <c r="R194" s="111" t="str">
        <f t="shared" si="332"/>
        <v/>
      </c>
      <c r="S194" s="111" t="str">
        <f t="shared" si="332"/>
        <v/>
      </c>
      <c r="T194" s="111">
        <f t="shared" ref="T194:U194" si="333">IF( AND( ISNUMBER(T$128), T$128 &lt;&gt; 0), ( T$128 - T177 ) / T$128, "")</f>
        <v>0</v>
      </c>
      <c r="U194" s="111" t="str">
        <f t="shared" si="333"/>
        <v/>
      </c>
      <c r="V194" s="111">
        <f t="shared" ref="V194:W194" si="334">IF( AND( ISNUMBER(V$128), V$128 &lt;&gt; 0), ( V$128 - V177 ) / V$128, "")</f>
        <v>1</v>
      </c>
      <c r="W194" s="111" t="str">
        <f t="shared" si="334"/>
        <v/>
      </c>
      <c r="X194" s="111">
        <f t="shared" ref="X194:Y194" si="335">IF( AND( ISNUMBER(X$128), X$128 &lt;&gt; 0), ( X$128 - X177 ) / X$128, "")</f>
        <v>1</v>
      </c>
      <c r="Y194" s="111" t="str">
        <f t="shared" si="335"/>
        <v/>
      </c>
    </row>
    <row r="195" spans="2:27" x14ac:dyDescent="0.25">
      <c r="C195" s="88"/>
      <c r="D195" s="2"/>
      <c r="E195" t="s">
        <v>906</v>
      </c>
      <c r="G195" s="28" t="s">
        <v>167</v>
      </c>
      <c r="J195" s="111">
        <f t="shared" ref="J195:K195" si="336">IF( AND( ISNUMBER(J$128), J$128 &lt;&gt; 0), ( J$128 - J188 ) / J$128, "")</f>
        <v>0.44468176598584619</v>
      </c>
      <c r="K195" s="111" t="str">
        <f t="shared" si="336"/>
        <v/>
      </c>
      <c r="L195" s="111">
        <f t="shared" ref="L195:M195" si="337">IF( AND( ISNUMBER(L$128), L$128 &lt;&gt; 0), ( L$128 - L188 ) / L$128, "")</f>
        <v>0.44708813115856355</v>
      </c>
      <c r="M195" s="111" t="str">
        <f t="shared" si="337"/>
        <v/>
      </c>
      <c r="N195" s="111">
        <f t="shared" ref="N195:P195" si="338">IF( AND( ISNUMBER(N$128), N$128 &lt;&gt; 0), ( N$128 - N188 ) / N$128, "")</f>
        <v>0.44784058792763171</v>
      </c>
      <c r="O195" s="111">
        <f t="shared" si="338"/>
        <v>0.19275000784379798</v>
      </c>
      <c r="P195" s="111">
        <f t="shared" si="338"/>
        <v>8.5321074773615127E-2</v>
      </c>
      <c r="Q195" s="111">
        <f t="shared" ref="Q195:S195" si="339">IF( AND( ISNUMBER(Q$128), Q$128 &lt;&gt; 0), ( Q$128 - Q188 ) / Q$128, "")</f>
        <v>0.44768848012900414</v>
      </c>
      <c r="R195" s="111" t="str">
        <f t="shared" si="339"/>
        <v/>
      </c>
      <c r="S195" s="111" t="str">
        <f t="shared" si="339"/>
        <v/>
      </c>
      <c r="T195" s="111">
        <f t="shared" ref="T195:U195" si="340">IF( AND( ISNUMBER(T$128), T$128 &lt;&gt; 0), ( T$128 - T188 ) / T$128, "")</f>
        <v>0</v>
      </c>
      <c r="U195" s="111" t="str">
        <f t="shared" si="340"/>
        <v/>
      </c>
      <c r="V195" s="111">
        <f t="shared" ref="V195:W195" si="341">IF( AND( ISNUMBER(V$128), V$128 &lt;&gt; 0), ( V$128 - V188 ) / V$128, "")</f>
        <v>0</v>
      </c>
      <c r="W195" s="111" t="str">
        <f t="shared" si="341"/>
        <v/>
      </c>
      <c r="X195" s="111">
        <f t="shared" ref="X195:Y195" si="342">IF( AND( ISNUMBER(X$128), X$128 &lt;&gt; 0), ( X$128 - X188 ) / X$128, "")</f>
        <v>-1.0856080472109259E-2</v>
      </c>
      <c r="Y195" s="111" t="str">
        <f t="shared" si="342"/>
        <v/>
      </c>
    </row>
    <row r="196" spans="2:27" x14ac:dyDescent="0.25">
      <c r="C196" s="88"/>
      <c r="D196" s="2"/>
      <c r="E196" s="2"/>
      <c r="F196" s="102"/>
      <c r="G196" s="102"/>
    </row>
    <row r="197" spans="2:27" x14ac:dyDescent="0.25">
      <c r="B197" s="30" t="s">
        <v>231</v>
      </c>
      <c r="C197" s="30"/>
      <c r="D197" s="30"/>
      <c r="E197" s="30"/>
      <c r="F197" s="30"/>
      <c r="G197" s="92"/>
      <c r="H197" s="30"/>
      <c r="I197" s="30"/>
      <c r="J197" s="30"/>
      <c r="K197" s="30"/>
      <c r="L197" s="30"/>
      <c r="M197" s="30"/>
      <c r="N197" s="30"/>
      <c r="O197" s="30"/>
      <c r="P197" s="30"/>
      <c r="Q197" s="30"/>
      <c r="R197" s="30"/>
      <c r="S197" s="30"/>
      <c r="T197" s="30"/>
      <c r="U197" s="30"/>
      <c r="V197" s="30"/>
      <c r="W197" s="30"/>
      <c r="X197" s="30"/>
      <c r="Y197" s="30"/>
      <c r="Z197" s="30"/>
      <c r="AA197" s="30"/>
    </row>
    <row r="198" spans="2:27" x14ac:dyDescent="0.25">
      <c r="F198" s="3"/>
      <c r="G198" s="216"/>
      <c r="H198" s="3"/>
      <c r="I198" s="3"/>
    </row>
    <row r="199" spans="2:27" x14ac:dyDescent="0.25">
      <c r="D199" t="s">
        <v>232</v>
      </c>
      <c r="G199" s="6" t="s">
        <v>55</v>
      </c>
      <c r="H199" s="26">
        <f t="array" ref="H199">SUM(IF(ISERROR($H$13:$Z$195), 1))</f>
        <v>0</v>
      </c>
      <c r="I199" s="3"/>
    </row>
    <row r="200" spans="2:27" x14ac:dyDescent="0.25">
      <c r="F200" s="3"/>
      <c r="G200" s="3"/>
      <c r="H200" s="3"/>
      <c r="I200" s="3"/>
    </row>
    <row r="201" spans="2:27" x14ac:dyDescent="0.25">
      <c r="B201" s="30" t="s">
        <v>106</v>
      </c>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c r="AA201" s="30"/>
    </row>
  </sheetData>
  <sheetProtection sheet="1" objects="1" formatCells="0" formatColumns="0" formatRows="0" sort="0" autoFilter="0"/>
  <conditionalFormatting sqref="H199">
    <cfRule type="cellIs" dxfId="13" priority="23" operator="greaterThan">
      <formula>0</formula>
    </cfRule>
  </conditionalFormatting>
  <conditionalFormatting sqref="A4:I4 Z4:XFD4">
    <cfRule type="expression" dxfId="12" priority="9">
      <formula>LEFT($A$4,1) &lt;&gt; "0"</formula>
    </cfRule>
  </conditionalFormatting>
  <conditionalFormatting sqref="N4:P4">
    <cfRule type="expression" dxfId="11" priority="8">
      <formula>LEFT($A$4,1) &lt;&gt; "0"</formula>
    </cfRule>
  </conditionalFormatting>
  <conditionalFormatting sqref="L4:M4">
    <cfRule type="expression" dxfId="10" priority="7">
      <formula>LEFT($A$4,1) &lt;&gt; "0"</formula>
    </cfRule>
  </conditionalFormatting>
  <conditionalFormatting sqref="J4:K4">
    <cfRule type="expression" dxfId="9" priority="6">
      <formula>LEFT($A$4,1) &lt;&gt; "0"</formula>
    </cfRule>
  </conditionalFormatting>
  <conditionalFormatting sqref="Q4">
    <cfRule type="expression" dxfId="8" priority="5">
      <formula>LEFT($A$4,1) &lt;&gt; "0"</formula>
    </cfRule>
  </conditionalFormatting>
  <conditionalFormatting sqref="R4:S4">
    <cfRule type="expression" dxfId="7" priority="4">
      <formula>LEFT($A$4,1) &lt;&gt; "0"</formula>
    </cfRule>
  </conditionalFormatting>
  <conditionalFormatting sqref="T4:U4">
    <cfRule type="expression" dxfId="6" priority="3">
      <formula>LEFT($A$4,1) &lt;&gt; "0"</formula>
    </cfRule>
  </conditionalFormatting>
  <conditionalFormatting sqref="V4:W4">
    <cfRule type="expression" dxfId="5" priority="2">
      <formula>LEFT($A$4,1) &lt;&gt; "0"</formula>
    </cfRule>
  </conditionalFormatting>
  <conditionalFormatting sqref="X4:Y4">
    <cfRule type="expression" dxfId="4" priority="1">
      <formula>LEFT($A$4,1) &lt;&gt; "0"</formula>
    </cfRule>
  </conditionalFormatting>
  <dataValidations count="2">
    <dataValidation type="decimal" operator="greaterThanOrEqual" allowBlank="1" showInputMessage="1" showErrorMessage="1" errorTitle="Invalid volume data" error="Invalid volume data (negative number or unused cell)." sqref="J16:Y40 J157:Y157 J150:Y150 J45:Y69">
      <formula1>0</formula1>
    </dataValidation>
    <dataValidation allowBlank="1" sqref="J143:Y149 J158:Y158 J156:Y156"/>
  </dataValidations>
  <hyperlinks>
    <hyperlink ref="B5:F5" location="'Model map'!A1" display="Click here to return to model map"/>
  </hyperlinks>
  <pageMargins left="0.70866141732283472" right="0.70866141732283472" top="0.74803149606299213" bottom="0.74803149606299213" header="0.31496062992125984" footer="0.31496062992125984"/>
  <pageSetup paperSize="9" orientation="landscape" r:id="rId1"/>
  <headerFooter>
    <oddFooter>&amp;L&amp;Z&amp;F&amp;R&amp;D</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V75"/>
  <sheetViews>
    <sheetView showGridLines="0" zoomScale="80" zoomScaleNormal="80" workbookViewId="0">
      <pane xSplit="9" ySplit="5" topLeftCell="J33" activePane="bottomRight" state="frozen"/>
      <selection pane="topRight"/>
      <selection pane="bottomLeft"/>
      <selection pane="bottomRight" activeCell="J16" sqref="J16:P67"/>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2" width="24.5703125" hidden="1" customWidth="1"/>
    <col min="283" max="16384" width="8.5703125" hidden="1"/>
  </cols>
  <sheetData>
    <row r="1" spans="1:44" s="1" customFormat="1" x14ac:dyDescent="0.25">
      <c r="A1" s="1" t="str">
        <f ca="1">MID(CELL("filename",A1),FIND("]",CELL("filename",A1))+1,255)</f>
        <v>Tariff summary</v>
      </c>
    </row>
    <row r="2" spans="1:44" s="1" customFormat="1" x14ac:dyDescent="0.25">
      <c r="A2" s="1" t="str">
        <f>Cover!D21&amp;" - "&amp;Cover!D23</f>
        <v>WPD East Midlands - April 21 Prices</v>
      </c>
    </row>
    <row r="3" spans="1:44" s="5" customFormat="1" x14ac:dyDescent="0.25">
      <c r="A3" s="5" t="str">
        <f>Cover!D2&amp;" - "&amp;Cover!D8&amp;" v"&amp;Cover!D10&amp;" - "&amp;Cover!D19</f>
        <v>CDCM charging model - Release for charge setting v5 - 2021/22</v>
      </c>
    </row>
    <row r="4" spans="1:44" x14ac:dyDescent="0.25">
      <c r="A4" s="12" t="str">
        <f>H71 &amp; IF(H71 = 1, " issue", " issues") &amp;" identified in checks on this sheet"</f>
        <v>0 issues identified in checks on this sheet</v>
      </c>
      <c r="B4" s="13"/>
      <c r="C4" s="13"/>
      <c r="D4" s="13"/>
      <c r="E4" s="13"/>
      <c r="F4" s="13"/>
      <c r="G4" s="13"/>
      <c r="H4" s="14"/>
      <c r="I4" s="14"/>
      <c r="J4" s="13"/>
    </row>
    <row r="5" spans="1:44" ht="45" x14ac:dyDescent="0.25">
      <c r="B5" s="59" t="s">
        <v>142</v>
      </c>
      <c r="C5" s="60"/>
      <c r="D5" s="60"/>
      <c r="E5" s="60"/>
      <c r="F5" s="60"/>
      <c r="G5" s="61"/>
      <c r="H5" s="61" t="s">
        <v>907</v>
      </c>
      <c r="J5" s="62" t="s">
        <v>908</v>
      </c>
      <c r="K5" s="62" t="s">
        <v>909</v>
      </c>
      <c r="L5" s="62" t="s">
        <v>910</v>
      </c>
      <c r="M5" s="62" t="s">
        <v>911</v>
      </c>
      <c r="N5" s="62" t="s">
        <v>912</v>
      </c>
      <c r="O5" s="62" t="s">
        <v>913</v>
      </c>
      <c r="P5" s="62" t="s">
        <v>914</v>
      </c>
      <c r="R5" s="61" t="s">
        <v>145</v>
      </c>
    </row>
    <row r="7" spans="1:44"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915</v>
      </c>
    </row>
    <row r="11" spans="1:44" x14ac:dyDescent="0.25">
      <c r="B11" s="30" t="s">
        <v>96</v>
      </c>
      <c r="C11" s="30"/>
      <c r="D11" s="30"/>
      <c r="E11" s="30"/>
      <c r="F11" s="30"/>
      <c r="G11" s="30"/>
      <c r="H11" s="30"/>
      <c r="I11" s="30"/>
      <c r="J11" s="30"/>
      <c r="K11" s="30"/>
      <c r="L11" s="105"/>
      <c r="M11" s="105"/>
      <c r="N11" s="105"/>
      <c r="O11" s="105"/>
      <c r="P11" s="105"/>
      <c r="Q11" s="105"/>
      <c r="R11" s="105"/>
    </row>
    <row r="12" spans="1:44" x14ac:dyDescent="0.25">
      <c r="D12"/>
      <c r="E12"/>
    </row>
    <row r="13" spans="1:44" x14ac:dyDescent="0.25">
      <c r="C13" s="31" t="str">
        <f>"Output 101-A: Tariffs for "&amp; charging_year</f>
        <v>Output 101-A: Tariffs for 2021/22</v>
      </c>
      <c r="D13" s="31"/>
      <c r="E13" s="31"/>
      <c r="F13" s="31"/>
      <c r="G13" s="31"/>
      <c r="H13" s="31"/>
      <c r="I13" s="31"/>
      <c r="J13" s="31"/>
      <c r="K13" s="31"/>
      <c r="L13" s="31"/>
      <c r="M13" s="31"/>
      <c r="N13" s="31"/>
      <c r="O13" s="31"/>
      <c r="P13" s="31"/>
      <c r="Q13" s="31"/>
      <c r="R13" s="31"/>
    </row>
    <row r="14" spans="1:44" x14ac:dyDescent="0.25">
      <c r="D14"/>
      <c r="E14"/>
    </row>
    <row r="15" spans="1:44" x14ac:dyDescent="0.25">
      <c r="D15" s="32"/>
      <c r="E15" s="32" t="s">
        <v>916</v>
      </c>
    </row>
    <row r="16" spans="1:44" x14ac:dyDescent="0.25">
      <c r="F16" s="23" t="s">
        <v>940</v>
      </c>
      <c r="G16" s="23"/>
      <c r="H16" s="23" t="s">
        <v>884</v>
      </c>
      <c r="I16" s="23"/>
      <c r="J16" s="224">
        <f t="array" ref="J16:P31">TRANSPOSE(Rounding!J130:Y136)</f>
        <v>8.7430000000000003</v>
      </c>
      <c r="K16" s="224">
        <v>1.8680000000000001</v>
      </c>
      <c r="L16" s="224">
        <v>0.93500000000000005</v>
      </c>
      <c r="M16" s="225">
        <v>3.74</v>
      </c>
      <c r="N16" s="225">
        <v>0</v>
      </c>
      <c r="O16" s="225">
        <v>0</v>
      </c>
      <c r="P16" s="224">
        <v>0</v>
      </c>
    </row>
    <row r="17" spans="6:16" x14ac:dyDescent="0.25">
      <c r="F17" t="s">
        <v>942</v>
      </c>
      <c r="H17" t="s">
        <v>884</v>
      </c>
      <c r="J17" s="226">
        <v>8.7430000000000003</v>
      </c>
      <c r="K17" s="226">
        <v>1.8680000000000001</v>
      </c>
      <c r="L17" s="226">
        <v>0.93500000000000005</v>
      </c>
      <c r="M17" s="227">
        <v>0</v>
      </c>
      <c r="N17" s="227">
        <v>0</v>
      </c>
      <c r="O17" s="227">
        <v>0</v>
      </c>
      <c r="P17" s="226">
        <v>0</v>
      </c>
    </row>
    <row r="18" spans="6:16" x14ac:dyDescent="0.25">
      <c r="F18" t="s">
        <v>941</v>
      </c>
      <c r="H18" t="s">
        <v>884</v>
      </c>
      <c r="J18" s="226">
        <v>7.69</v>
      </c>
      <c r="K18" s="226">
        <v>1.7350000000000001</v>
      </c>
      <c r="L18" s="226">
        <v>0.92700000000000005</v>
      </c>
      <c r="M18" s="227">
        <v>7.44</v>
      </c>
      <c r="N18" s="227">
        <v>0</v>
      </c>
      <c r="O18" s="227">
        <v>0</v>
      </c>
      <c r="P18" s="226">
        <v>0</v>
      </c>
    </row>
    <row r="19" spans="6:16" x14ac:dyDescent="0.25">
      <c r="F19" t="s">
        <v>943</v>
      </c>
      <c r="H19" t="s">
        <v>884</v>
      </c>
      <c r="J19" s="226">
        <v>7.69</v>
      </c>
      <c r="K19" s="226">
        <v>1.7350000000000001</v>
      </c>
      <c r="L19" s="226">
        <v>0.92700000000000005</v>
      </c>
      <c r="M19" s="227">
        <v>0</v>
      </c>
      <c r="N19" s="227">
        <v>0</v>
      </c>
      <c r="O19" s="227">
        <v>0</v>
      </c>
      <c r="P19" s="226">
        <v>0</v>
      </c>
    </row>
    <row r="20" spans="6:16" x14ac:dyDescent="0.25">
      <c r="F20" t="s">
        <v>949</v>
      </c>
      <c r="H20" t="s">
        <v>884</v>
      </c>
      <c r="J20" s="226">
        <v>5.8019999999999996</v>
      </c>
      <c r="K20" s="226">
        <v>1.4730000000000001</v>
      </c>
      <c r="L20" s="226">
        <v>0.91</v>
      </c>
      <c r="M20" s="227">
        <v>11.37</v>
      </c>
      <c r="N20" s="227">
        <v>2.9</v>
      </c>
      <c r="O20" s="227">
        <v>5.75</v>
      </c>
      <c r="P20" s="226">
        <v>0.157</v>
      </c>
    </row>
    <row r="21" spans="6:16" x14ac:dyDescent="0.25">
      <c r="F21" t="s">
        <v>950</v>
      </c>
      <c r="H21" t="s">
        <v>884</v>
      </c>
      <c r="J21" s="226">
        <v>4.1840000000000002</v>
      </c>
      <c r="K21" s="226">
        <v>1.242</v>
      </c>
      <c r="L21" s="226">
        <v>0.89400000000000002</v>
      </c>
      <c r="M21" s="227">
        <v>8.91</v>
      </c>
      <c r="N21" s="227">
        <v>3.52</v>
      </c>
      <c r="O21" s="227">
        <v>5.31</v>
      </c>
      <c r="P21" s="226">
        <v>0.111</v>
      </c>
    </row>
    <row r="22" spans="6:16" x14ac:dyDescent="0.25">
      <c r="F22" t="s">
        <v>951</v>
      </c>
      <c r="H22" t="s">
        <v>884</v>
      </c>
      <c r="J22" s="226">
        <v>2.903</v>
      </c>
      <c r="K22" s="226">
        <v>1.0649999999999999</v>
      </c>
      <c r="L22" s="226">
        <v>0.88300000000000001</v>
      </c>
      <c r="M22" s="227">
        <v>80.94</v>
      </c>
      <c r="N22" s="227">
        <v>4.28</v>
      </c>
      <c r="O22" s="227">
        <v>6.18</v>
      </c>
      <c r="P22" s="226">
        <v>5.7000000000000002E-2</v>
      </c>
    </row>
    <row r="23" spans="6:16" x14ac:dyDescent="0.25">
      <c r="F23" t="s">
        <v>952</v>
      </c>
      <c r="H23" t="s">
        <v>884</v>
      </c>
      <c r="J23" s="226">
        <v>21.762</v>
      </c>
      <c r="K23" s="226">
        <v>2.4870000000000001</v>
      </c>
      <c r="L23" s="226">
        <v>1.72</v>
      </c>
      <c r="M23" s="227">
        <v>0</v>
      </c>
      <c r="N23" s="227">
        <v>0</v>
      </c>
      <c r="O23" s="227">
        <v>0</v>
      </c>
      <c r="P23" s="226">
        <v>0</v>
      </c>
    </row>
    <row r="24" spans="6:16" x14ac:dyDescent="0.25">
      <c r="F24" t="s">
        <v>944</v>
      </c>
      <c r="H24" t="s">
        <v>884</v>
      </c>
      <c r="J24" s="226">
        <v>-4.7519999999999998</v>
      </c>
      <c r="K24" s="226">
        <v>-0.60099999999999998</v>
      </c>
      <c r="L24" s="226">
        <v>-3.6999999999999998E-2</v>
      </c>
      <c r="M24" s="227">
        <v>0</v>
      </c>
      <c r="N24" s="227">
        <v>0</v>
      </c>
      <c r="O24" s="227">
        <v>0</v>
      </c>
      <c r="P24" s="226">
        <v>0</v>
      </c>
    </row>
    <row r="25" spans="6:16" x14ac:dyDescent="0.25">
      <c r="F25" t="s">
        <v>945</v>
      </c>
      <c r="H25" t="s">
        <v>884</v>
      </c>
      <c r="J25" s="226">
        <v>-4.1689999999999996</v>
      </c>
      <c r="K25" s="226">
        <v>-0.51500000000000001</v>
      </c>
      <c r="L25" s="226">
        <v>-3.1E-2</v>
      </c>
      <c r="M25" s="227">
        <v>0</v>
      </c>
      <c r="N25" s="227">
        <v>0</v>
      </c>
      <c r="O25" s="227">
        <v>0</v>
      </c>
      <c r="P25" s="226">
        <v>0</v>
      </c>
    </row>
    <row r="26" spans="6:16" x14ac:dyDescent="0.25">
      <c r="F26" t="s">
        <v>946</v>
      </c>
      <c r="H26" t="s">
        <v>884</v>
      </c>
      <c r="J26" s="226">
        <v>-4.7519999999999998</v>
      </c>
      <c r="K26" s="226">
        <v>-0.60099999999999998</v>
      </c>
      <c r="L26" s="226">
        <v>-3.6999999999999998E-2</v>
      </c>
      <c r="M26" s="227">
        <v>0</v>
      </c>
      <c r="N26" s="227">
        <v>0</v>
      </c>
      <c r="O26" s="227">
        <v>0</v>
      </c>
      <c r="P26" s="226">
        <v>0.156</v>
      </c>
    </row>
    <row r="27" spans="6:16" x14ac:dyDescent="0.25">
      <c r="F27" t="s">
        <v>955</v>
      </c>
      <c r="H27" t="s">
        <v>884</v>
      </c>
      <c r="J27" s="226">
        <v>-4.7519999999999998</v>
      </c>
      <c r="K27" s="226">
        <v>-0.60099999999999998</v>
      </c>
      <c r="L27" s="226">
        <v>-3.6999999999999998E-2</v>
      </c>
      <c r="M27" s="227">
        <v>0</v>
      </c>
      <c r="N27" s="227">
        <v>0</v>
      </c>
      <c r="O27" s="227">
        <v>0</v>
      </c>
      <c r="P27" s="226">
        <v>0</v>
      </c>
    </row>
    <row r="28" spans="6:16" x14ac:dyDescent="0.25">
      <c r="F28" t="s">
        <v>947</v>
      </c>
      <c r="H28" t="s">
        <v>884</v>
      </c>
      <c r="J28" s="226">
        <v>-4.1689999999999996</v>
      </c>
      <c r="K28" s="226">
        <v>-0.51500000000000001</v>
      </c>
      <c r="L28" s="226">
        <v>-3.1E-2</v>
      </c>
      <c r="M28" s="227">
        <v>0</v>
      </c>
      <c r="N28" s="227">
        <v>0</v>
      </c>
      <c r="O28" s="227">
        <v>0</v>
      </c>
      <c r="P28" s="226">
        <v>0.13100000000000001</v>
      </c>
    </row>
    <row r="29" spans="6:16" x14ac:dyDescent="0.25">
      <c r="F29" t="s">
        <v>954</v>
      </c>
      <c r="H29" t="s">
        <v>884</v>
      </c>
      <c r="J29" s="226">
        <v>-4.1689999999999996</v>
      </c>
      <c r="K29" s="226">
        <v>-0.51500000000000001</v>
      </c>
      <c r="L29" s="226">
        <v>-3.1E-2</v>
      </c>
      <c r="M29" s="227">
        <v>0</v>
      </c>
      <c r="N29" s="227">
        <v>0</v>
      </c>
      <c r="O29" s="227">
        <v>0</v>
      </c>
      <c r="P29" s="226">
        <v>0</v>
      </c>
    </row>
    <row r="30" spans="6:16" x14ac:dyDescent="0.25">
      <c r="F30" t="s">
        <v>948</v>
      </c>
      <c r="H30" t="s">
        <v>884</v>
      </c>
      <c r="J30" s="226">
        <v>-2.726</v>
      </c>
      <c r="K30" s="226">
        <v>-0.29599999999999999</v>
      </c>
      <c r="L30" s="226">
        <v>-1.6E-2</v>
      </c>
      <c r="M30" s="227">
        <v>50.55</v>
      </c>
      <c r="N30" s="227">
        <v>0</v>
      </c>
      <c r="O30" s="227">
        <v>0</v>
      </c>
      <c r="P30" s="226">
        <v>0.105</v>
      </c>
    </row>
    <row r="31" spans="6:16" x14ac:dyDescent="0.25">
      <c r="F31" s="37" t="s">
        <v>953</v>
      </c>
      <c r="G31" s="37"/>
      <c r="H31" s="37" t="s">
        <v>884</v>
      </c>
      <c r="I31" s="37"/>
      <c r="J31" s="228">
        <v>-2.726</v>
      </c>
      <c r="K31" s="228">
        <v>-0.29599999999999999</v>
      </c>
      <c r="L31" s="228">
        <v>-1.6E-2</v>
      </c>
      <c r="M31" s="229">
        <v>50.55</v>
      </c>
      <c r="N31" s="229">
        <v>0</v>
      </c>
      <c r="O31" s="229">
        <v>0</v>
      </c>
      <c r="P31" s="228">
        <v>0</v>
      </c>
    </row>
    <row r="32" spans="6:16" x14ac:dyDescent="0.25">
      <c r="F32" s="2"/>
      <c r="J32" s="14"/>
      <c r="K32" s="14"/>
      <c r="L32" s="14"/>
      <c r="M32" s="230"/>
      <c r="N32" s="230"/>
      <c r="O32" s="230"/>
      <c r="P32" s="14"/>
    </row>
    <row r="33" spans="4:16" x14ac:dyDescent="0.25">
      <c r="D33" s="32"/>
      <c r="E33" s="32" t="s">
        <v>917</v>
      </c>
      <c r="F33" s="2"/>
      <c r="J33" s="14"/>
      <c r="K33" s="14"/>
      <c r="L33" s="14"/>
      <c r="M33" s="230"/>
      <c r="N33" s="230"/>
      <c r="O33" s="230"/>
      <c r="P33" s="14"/>
    </row>
    <row r="34" spans="4:16" x14ac:dyDescent="0.25">
      <c r="F34" s="23" t="s">
        <v>940</v>
      </c>
      <c r="G34" s="23"/>
      <c r="H34" s="23" t="s">
        <v>448</v>
      </c>
      <c r="I34" s="23"/>
      <c r="J34" s="224">
        <f t="array" ref="J34:P49">TRANSPOSE(Rounding!J139:Y145)</f>
        <v>6.0750000000000002</v>
      </c>
      <c r="K34" s="224">
        <v>1.298</v>
      </c>
      <c r="L34" s="224">
        <v>0.65</v>
      </c>
      <c r="M34" s="225">
        <v>2.65</v>
      </c>
      <c r="N34" s="225">
        <v>0</v>
      </c>
      <c r="O34" s="225">
        <v>0</v>
      </c>
      <c r="P34" s="224">
        <v>0</v>
      </c>
    </row>
    <row r="35" spans="4:16" x14ac:dyDescent="0.25">
      <c r="F35" t="s">
        <v>942</v>
      </c>
      <c r="H35" t="s">
        <v>448</v>
      </c>
      <c r="J35" s="226">
        <v>6.0750000000000002</v>
      </c>
      <c r="K35" s="226">
        <v>1.298</v>
      </c>
      <c r="L35" s="226">
        <v>0.65</v>
      </c>
      <c r="M35" s="227">
        <v>0</v>
      </c>
      <c r="N35" s="227">
        <v>0</v>
      </c>
      <c r="O35" s="227">
        <v>0</v>
      </c>
      <c r="P35" s="226">
        <v>0</v>
      </c>
    </row>
    <row r="36" spans="4:16" x14ac:dyDescent="0.25">
      <c r="F36" t="s">
        <v>941</v>
      </c>
      <c r="H36" t="s">
        <v>448</v>
      </c>
      <c r="J36" s="226">
        <v>5.3440000000000003</v>
      </c>
      <c r="K36" s="226">
        <v>1.206</v>
      </c>
      <c r="L36" s="226">
        <v>0.64400000000000002</v>
      </c>
      <c r="M36" s="227">
        <v>5.22</v>
      </c>
      <c r="N36" s="227">
        <v>0</v>
      </c>
      <c r="O36" s="227">
        <v>0</v>
      </c>
      <c r="P36" s="226">
        <v>0</v>
      </c>
    </row>
    <row r="37" spans="4:16" x14ac:dyDescent="0.25">
      <c r="F37" t="s">
        <v>943</v>
      </c>
      <c r="H37" t="s">
        <v>448</v>
      </c>
      <c r="J37" s="226">
        <v>5.3440000000000003</v>
      </c>
      <c r="K37" s="226">
        <v>1.206</v>
      </c>
      <c r="L37" s="226">
        <v>0.64400000000000002</v>
      </c>
      <c r="M37" s="227">
        <v>0</v>
      </c>
      <c r="N37" s="227">
        <v>0</v>
      </c>
      <c r="O37" s="227">
        <v>0</v>
      </c>
      <c r="P37" s="226">
        <v>0</v>
      </c>
    </row>
    <row r="38" spans="4:16" x14ac:dyDescent="0.25">
      <c r="F38" t="s">
        <v>949</v>
      </c>
      <c r="H38" t="s">
        <v>448</v>
      </c>
      <c r="J38" s="226">
        <v>4.032</v>
      </c>
      <c r="K38" s="226">
        <v>1.024</v>
      </c>
      <c r="L38" s="226">
        <v>0.63200000000000001</v>
      </c>
      <c r="M38" s="227">
        <v>7.95</v>
      </c>
      <c r="N38" s="227">
        <v>2.02</v>
      </c>
      <c r="O38" s="227">
        <v>4</v>
      </c>
      <c r="P38" s="226">
        <v>0.109</v>
      </c>
    </row>
    <row r="39" spans="4:16" x14ac:dyDescent="0.25">
      <c r="F39" t="s">
        <v>950</v>
      </c>
      <c r="H39" t="s">
        <v>448</v>
      </c>
      <c r="J39" s="231">
        <v>0</v>
      </c>
      <c r="K39" s="231">
        <v>0</v>
      </c>
      <c r="L39" s="231">
        <v>0</v>
      </c>
      <c r="M39" s="231">
        <v>0</v>
      </c>
      <c r="N39" s="231">
        <v>0</v>
      </c>
      <c r="O39" s="231">
        <v>0</v>
      </c>
      <c r="P39" s="231">
        <v>0</v>
      </c>
    </row>
    <row r="40" spans="4:16" x14ac:dyDescent="0.25">
      <c r="F40" t="s">
        <v>951</v>
      </c>
      <c r="H40" t="s">
        <v>448</v>
      </c>
      <c r="J40" s="231">
        <v>0</v>
      </c>
      <c r="K40" s="231">
        <v>0</v>
      </c>
      <c r="L40" s="231">
        <v>0</v>
      </c>
      <c r="M40" s="231">
        <v>0</v>
      </c>
      <c r="N40" s="231">
        <v>0</v>
      </c>
      <c r="O40" s="231">
        <v>0</v>
      </c>
      <c r="P40" s="231">
        <v>0</v>
      </c>
    </row>
    <row r="41" spans="4:16" x14ac:dyDescent="0.25">
      <c r="F41" t="s">
        <v>952</v>
      </c>
      <c r="H41" t="s">
        <v>448</v>
      </c>
      <c r="J41" s="226">
        <v>15.122999999999999</v>
      </c>
      <c r="K41" s="226">
        <v>1.7290000000000001</v>
      </c>
      <c r="L41" s="226">
        <v>1.196</v>
      </c>
      <c r="M41" s="227">
        <v>0</v>
      </c>
      <c r="N41" s="227">
        <v>0</v>
      </c>
      <c r="O41" s="227">
        <v>0</v>
      </c>
      <c r="P41" s="226">
        <v>0</v>
      </c>
    </row>
    <row r="42" spans="4:16" x14ac:dyDescent="0.25">
      <c r="F42" t="s">
        <v>944</v>
      </c>
      <c r="H42" t="s">
        <v>448</v>
      </c>
      <c r="J42" s="226">
        <v>-4.7519999999999998</v>
      </c>
      <c r="K42" s="226">
        <v>-0.60099999999999998</v>
      </c>
      <c r="L42" s="226">
        <v>-3.6999999999999998E-2</v>
      </c>
      <c r="M42" s="227">
        <v>0</v>
      </c>
      <c r="N42" s="227">
        <v>0</v>
      </c>
      <c r="O42" s="227">
        <v>0</v>
      </c>
      <c r="P42" s="226">
        <v>0</v>
      </c>
    </row>
    <row r="43" spans="4:16" x14ac:dyDescent="0.25">
      <c r="F43" t="s">
        <v>945</v>
      </c>
      <c r="H43" t="s">
        <v>448</v>
      </c>
      <c r="J43" s="231">
        <v>0</v>
      </c>
      <c r="K43" s="231">
        <v>0</v>
      </c>
      <c r="L43" s="231">
        <v>0</v>
      </c>
      <c r="M43" s="231">
        <v>0</v>
      </c>
      <c r="N43" s="231">
        <v>0</v>
      </c>
      <c r="O43" s="231">
        <v>0</v>
      </c>
      <c r="P43" s="231">
        <v>0</v>
      </c>
    </row>
    <row r="44" spans="4:16" x14ac:dyDescent="0.25">
      <c r="F44" t="s">
        <v>946</v>
      </c>
      <c r="H44" t="s">
        <v>448</v>
      </c>
      <c r="J44" s="226">
        <v>-4.7519999999999998</v>
      </c>
      <c r="K44" s="226">
        <v>-0.60099999999999998</v>
      </c>
      <c r="L44" s="226">
        <v>-3.6999999999999998E-2</v>
      </c>
      <c r="M44" s="227">
        <v>0</v>
      </c>
      <c r="N44" s="227">
        <v>0</v>
      </c>
      <c r="O44" s="227">
        <v>0</v>
      </c>
      <c r="P44" s="226">
        <v>0.156</v>
      </c>
    </row>
    <row r="45" spans="4:16" x14ac:dyDescent="0.25">
      <c r="F45" t="s">
        <v>955</v>
      </c>
      <c r="H45" t="s">
        <v>448</v>
      </c>
      <c r="J45" s="231">
        <v>0</v>
      </c>
      <c r="K45" s="231">
        <v>0</v>
      </c>
      <c r="L45" s="231">
        <v>0</v>
      </c>
      <c r="M45" s="231">
        <v>0</v>
      </c>
      <c r="N45" s="231">
        <v>0</v>
      </c>
      <c r="O45" s="231">
        <v>0</v>
      </c>
      <c r="P45" s="231">
        <v>0</v>
      </c>
    </row>
    <row r="46" spans="4:16" x14ac:dyDescent="0.25">
      <c r="F46" t="s">
        <v>947</v>
      </c>
      <c r="H46" t="s">
        <v>448</v>
      </c>
      <c r="J46" s="231">
        <v>0</v>
      </c>
      <c r="K46" s="231">
        <v>0</v>
      </c>
      <c r="L46" s="231">
        <v>0</v>
      </c>
      <c r="M46" s="231">
        <v>0</v>
      </c>
      <c r="N46" s="231">
        <v>0</v>
      </c>
      <c r="O46" s="231">
        <v>0</v>
      </c>
      <c r="P46" s="231">
        <v>0</v>
      </c>
    </row>
    <row r="47" spans="4:16" x14ac:dyDescent="0.25">
      <c r="F47" t="s">
        <v>954</v>
      </c>
      <c r="H47" t="s">
        <v>448</v>
      </c>
      <c r="J47" s="231">
        <v>0</v>
      </c>
      <c r="K47" s="231">
        <v>0</v>
      </c>
      <c r="L47" s="231">
        <v>0</v>
      </c>
      <c r="M47" s="231">
        <v>0</v>
      </c>
      <c r="N47" s="231">
        <v>0</v>
      </c>
      <c r="O47" s="231">
        <v>0</v>
      </c>
      <c r="P47" s="231">
        <v>0</v>
      </c>
    </row>
    <row r="48" spans="4:16" x14ac:dyDescent="0.25">
      <c r="F48" t="s">
        <v>948</v>
      </c>
      <c r="H48" t="s">
        <v>448</v>
      </c>
      <c r="J48" s="231">
        <v>0</v>
      </c>
      <c r="K48" s="231">
        <v>0</v>
      </c>
      <c r="L48" s="231">
        <v>0</v>
      </c>
      <c r="M48" s="231">
        <v>0</v>
      </c>
      <c r="N48" s="231">
        <v>0</v>
      </c>
      <c r="O48" s="231">
        <v>0</v>
      </c>
      <c r="P48" s="231">
        <v>0</v>
      </c>
    </row>
    <row r="49" spans="4:16" x14ac:dyDescent="0.25">
      <c r="F49" s="37" t="s">
        <v>953</v>
      </c>
      <c r="G49" s="37"/>
      <c r="H49" s="37" t="s">
        <v>448</v>
      </c>
      <c r="I49" s="37"/>
      <c r="J49" s="232">
        <v>0</v>
      </c>
      <c r="K49" s="232">
        <v>0</v>
      </c>
      <c r="L49" s="232">
        <v>0</v>
      </c>
      <c r="M49" s="232">
        <v>0</v>
      </c>
      <c r="N49" s="232">
        <v>0</v>
      </c>
      <c r="O49" s="232">
        <v>0</v>
      </c>
      <c r="P49" s="232">
        <v>0</v>
      </c>
    </row>
    <row r="50" spans="4:16" x14ac:dyDescent="0.25">
      <c r="D50"/>
      <c r="E50"/>
      <c r="M50" s="233"/>
      <c r="N50" s="233"/>
      <c r="O50" s="233"/>
    </row>
    <row r="51" spans="4:16" x14ac:dyDescent="0.25">
      <c r="D51" s="32"/>
      <c r="E51" s="32" t="s">
        <v>918</v>
      </c>
      <c r="M51" s="233"/>
      <c r="N51" s="233"/>
      <c r="O51" s="233"/>
    </row>
    <row r="52" spans="4:16" x14ac:dyDescent="0.25">
      <c r="F52" s="23" t="s">
        <v>940</v>
      </c>
      <c r="G52" s="23"/>
      <c r="H52" s="23" t="s">
        <v>449</v>
      </c>
      <c r="I52" s="23"/>
      <c r="J52" s="224">
        <f t="array" ref="J52:P67">TRANSPOSE(Rounding!J148:Y154)</f>
        <v>4.8280000000000003</v>
      </c>
      <c r="K52" s="224">
        <v>1.032</v>
      </c>
      <c r="L52" s="224">
        <v>0.51600000000000001</v>
      </c>
      <c r="M52" s="225">
        <v>2.14</v>
      </c>
      <c r="N52" s="225">
        <v>0</v>
      </c>
      <c r="O52" s="225">
        <v>0</v>
      </c>
      <c r="P52" s="224">
        <v>0</v>
      </c>
    </row>
    <row r="53" spans="4:16" x14ac:dyDescent="0.25">
      <c r="F53" t="s">
        <v>942</v>
      </c>
      <c r="H53" t="s">
        <v>449</v>
      </c>
      <c r="J53" s="226">
        <v>4.8280000000000003</v>
      </c>
      <c r="K53" s="226">
        <v>1.032</v>
      </c>
      <c r="L53" s="226">
        <v>0.51600000000000001</v>
      </c>
      <c r="M53" s="227">
        <v>0</v>
      </c>
      <c r="N53" s="227">
        <v>0</v>
      </c>
      <c r="O53" s="227">
        <v>0</v>
      </c>
      <c r="P53" s="226">
        <v>0</v>
      </c>
    </row>
    <row r="54" spans="4:16" x14ac:dyDescent="0.25">
      <c r="F54" t="s">
        <v>941</v>
      </c>
      <c r="H54" t="s">
        <v>449</v>
      </c>
      <c r="J54" s="226">
        <v>4.2460000000000004</v>
      </c>
      <c r="K54" s="226">
        <v>0.95799999999999996</v>
      </c>
      <c r="L54" s="226">
        <v>0.51200000000000001</v>
      </c>
      <c r="M54" s="227">
        <v>4.18</v>
      </c>
      <c r="N54" s="227">
        <v>0</v>
      </c>
      <c r="O54" s="227">
        <v>0</v>
      </c>
      <c r="P54" s="226">
        <v>0</v>
      </c>
    </row>
    <row r="55" spans="4:16" x14ac:dyDescent="0.25">
      <c r="F55" t="s">
        <v>943</v>
      </c>
      <c r="H55" t="s">
        <v>449</v>
      </c>
      <c r="J55" s="226">
        <v>4.2460000000000004</v>
      </c>
      <c r="K55" s="226">
        <v>0.95799999999999996</v>
      </c>
      <c r="L55" s="226">
        <v>0.51200000000000001</v>
      </c>
      <c r="M55" s="227">
        <v>0</v>
      </c>
      <c r="N55" s="227">
        <v>0</v>
      </c>
      <c r="O55" s="227">
        <v>0</v>
      </c>
      <c r="P55" s="226">
        <v>0</v>
      </c>
    </row>
    <row r="56" spans="4:16" x14ac:dyDescent="0.25">
      <c r="F56" t="s">
        <v>949</v>
      </c>
      <c r="H56" t="s">
        <v>449</v>
      </c>
      <c r="J56" s="226">
        <v>3.2040000000000002</v>
      </c>
      <c r="K56" s="226">
        <v>0.81399999999999995</v>
      </c>
      <c r="L56" s="226">
        <v>0.502</v>
      </c>
      <c r="M56" s="227">
        <v>6.35</v>
      </c>
      <c r="N56" s="227">
        <v>1.6</v>
      </c>
      <c r="O56" s="227">
        <v>3.18</v>
      </c>
      <c r="P56" s="226">
        <v>8.6999999999999994E-2</v>
      </c>
    </row>
    <row r="57" spans="4:16" x14ac:dyDescent="0.25">
      <c r="F57" t="s">
        <v>950</v>
      </c>
      <c r="H57" t="s">
        <v>449</v>
      </c>
      <c r="J57" s="226">
        <v>3.3769999999999998</v>
      </c>
      <c r="K57" s="226">
        <v>1.0029999999999999</v>
      </c>
      <c r="L57" s="226">
        <v>0.72199999999999998</v>
      </c>
      <c r="M57" s="227">
        <v>7.22</v>
      </c>
      <c r="N57" s="227">
        <v>2.84</v>
      </c>
      <c r="O57" s="227">
        <v>4.29</v>
      </c>
      <c r="P57" s="226">
        <v>0.09</v>
      </c>
    </row>
    <row r="58" spans="4:16" x14ac:dyDescent="0.25">
      <c r="F58" t="s">
        <v>951</v>
      </c>
      <c r="H58" t="s">
        <v>449</v>
      </c>
      <c r="J58" s="226">
        <v>2.657</v>
      </c>
      <c r="K58" s="226">
        <v>0.97499999999999998</v>
      </c>
      <c r="L58" s="226">
        <v>0.80800000000000005</v>
      </c>
      <c r="M58" s="227">
        <v>74.099999999999994</v>
      </c>
      <c r="N58" s="227">
        <v>3.91</v>
      </c>
      <c r="O58" s="227">
        <v>5.66</v>
      </c>
      <c r="P58" s="226">
        <v>5.1999999999999998E-2</v>
      </c>
    </row>
    <row r="59" spans="4:16" x14ac:dyDescent="0.25">
      <c r="F59" t="s">
        <v>952</v>
      </c>
      <c r="H59" t="s">
        <v>449</v>
      </c>
      <c r="J59" s="226">
        <v>12.016999999999999</v>
      </c>
      <c r="K59" s="226">
        <v>1.3740000000000001</v>
      </c>
      <c r="L59" s="226">
        <v>0.95</v>
      </c>
      <c r="M59" s="227">
        <v>0</v>
      </c>
      <c r="N59" s="227">
        <v>0</v>
      </c>
      <c r="O59" s="227">
        <v>0</v>
      </c>
      <c r="P59" s="226">
        <v>0</v>
      </c>
    </row>
    <row r="60" spans="4:16" x14ac:dyDescent="0.25">
      <c r="F60" t="s">
        <v>944</v>
      </c>
      <c r="H60" t="s">
        <v>449</v>
      </c>
      <c r="J60" s="226">
        <v>-4.7519999999999998</v>
      </c>
      <c r="K60" s="226">
        <v>-0.60099999999999998</v>
      </c>
      <c r="L60" s="226">
        <v>-3.6999999999999998E-2</v>
      </c>
      <c r="M60" s="227">
        <v>0</v>
      </c>
      <c r="N60" s="227">
        <v>0</v>
      </c>
      <c r="O60" s="227">
        <v>0</v>
      </c>
      <c r="P60" s="226">
        <v>0</v>
      </c>
    </row>
    <row r="61" spans="4:16" x14ac:dyDescent="0.25">
      <c r="F61" t="s">
        <v>945</v>
      </c>
      <c r="H61" t="s">
        <v>449</v>
      </c>
      <c r="J61" s="226">
        <v>-4.1689999999999996</v>
      </c>
      <c r="K61" s="226">
        <v>-0.51500000000000001</v>
      </c>
      <c r="L61" s="226">
        <v>-3.1E-2</v>
      </c>
      <c r="M61" s="227">
        <v>0</v>
      </c>
      <c r="N61" s="227">
        <v>0</v>
      </c>
      <c r="O61" s="227">
        <v>0</v>
      </c>
      <c r="P61" s="226">
        <v>0</v>
      </c>
    </row>
    <row r="62" spans="4:16" x14ac:dyDescent="0.25">
      <c r="F62" t="s">
        <v>946</v>
      </c>
      <c r="H62" t="s">
        <v>449</v>
      </c>
      <c r="J62" s="226">
        <v>-4.7519999999999998</v>
      </c>
      <c r="K62" s="226">
        <v>-0.60099999999999998</v>
      </c>
      <c r="L62" s="226">
        <v>-3.6999999999999998E-2</v>
      </c>
      <c r="M62" s="227">
        <v>0</v>
      </c>
      <c r="N62" s="227">
        <v>0</v>
      </c>
      <c r="O62" s="227">
        <v>0</v>
      </c>
      <c r="P62" s="226">
        <v>0.156</v>
      </c>
    </row>
    <row r="63" spans="4:16" x14ac:dyDescent="0.25">
      <c r="F63" t="s">
        <v>955</v>
      </c>
      <c r="H63" t="s">
        <v>449</v>
      </c>
      <c r="J63" s="231">
        <v>0</v>
      </c>
      <c r="K63" s="231">
        <v>0</v>
      </c>
      <c r="L63" s="231">
        <v>0</v>
      </c>
      <c r="M63" s="231">
        <v>0</v>
      </c>
      <c r="N63" s="231">
        <v>0</v>
      </c>
      <c r="O63" s="231">
        <v>0</v>
      </c>
      <c r="P63" s="231">
        <v>0</v>
      </c>
    </row>
    <row r="64" spans="4:16" x14ac:dyDescent="0.25">
      <c r="F64" t="s">
        <v>947</v>
      </c>
      <c r="H64" t="s">
        <v>449</v>
      </c>
      <c r="J64" s="226">
        <v>-4.1689999999999996</v>
      </c>
      <c r="K64" s="226">
        <v>-0.51500000000000001</v>
      </c>
      <c r="L64" s="226">
        <v>-3.1E-2</v>
      </c>
      <c r="M64" s="227">
        <v>0</v>
      </c>
      <c r="N64" s="227">
        <v>0</v>
      </c>
      <c r="O64" s="227">
        <v>0</v>
      </c>
      <c r="P64" s="226">
        <v>0.13100000000000001</v>
      </c>
    </row>
    <row r="65" spans="2:19" x14ac:dyDescent="0.25">
      <c r="F65" t="s">
        <v>954</v>
      </c>
      <c r="H65" t="s">
        <v>449</v>
      </c>
      <c r="J65" s="231">
        <v>0</v>
      </c>
      <c r="K65" s="231">
        <v>0</v>
      </c>
      <c r="L65" s="231">
        <v>0</v>
      </c>
      <c r="M65" s="231">
        <v>0</v>
      </c>
      <c r="N65" s="231">
        <v>0</v>
      </c>
      <c r="O65" s="231">
        <v>0</v>
      </c>
      <c r="P65" s="231">
        <v>0</v>
      </c>
    </row>
    <row r="66" spans="2:19" x14ac:dyDescent="0.25">
      <c r="F66" t="s">
        <v>948</v>
      </c>
      <c r="H66" t="s">
        <v>449</v>
      </c>
      <c r="J66" s="226">
        <v>-2.726</v>
      </c>
      <c r="K66" s="226">
        <v>-0.29599999999999999</v>
      </c>
      <c r="L66" s="226">
        <v>-1.6E-2</v>
      </c>
      <c r="M66" s="227">
        <v>0</v>
      </c>
      <c r="N66" s="227">
        <v>0</v>
      </c>
      <c r="O66" s="227">
        <v>0</v>
      </c>
      <c r="P66" s="226">
        <v>0.105</v>
      </c>
    </row>
    <row r="67" spans="2:19" x14ac:dyDescent="0.25">
      <c r="F67" s="37" t="s">
        <v>953</v>
      </c>
      <c r="G67" s="37"/>
      <c r="H67" s="37" t="s">
        <v>449</v>
      </c>
      <c r="I67" s="37"/>
      <c r="J67" s="232">
        <v>0</v>
      </c>
      <c r="K67" s="232">
        <v>0</v>
      </c>
      <c r="L67" s="232">
        <v>0</v>
      </c>
      <c r="M67" s="232">
        <v>0</v>
      </c>
      <c r="N67" s="232">
        <v>0</v>
      </c>
      <c r="O67" s="232">
        <v>0</v>
      </c>
      <c r="P67" s="232">
        <v>0</v>
      </c>
    </row>
    <row r="68" spans="2:19" x14ac:dyDescent="0.25">
      <c r="D68" s="32"/>
      <c r="E68" s="32"/>
      <c r="F68" s="32"/>
      <c r="G68" s="32"/>
      <c r="H68" s="32"/>
      <c r="I68" s="32"/>
      <c r="J68" s="32"/>
      <c r="K68" s="32"/>
      <c r="L68" s="32"/>
      <c r="M68" s="234"/>
      <c r="N68" s="234"/>
      <c r="O68" s="234"/>
      <c r="P68" s="32"/>
      <c r="Q68" s="32"/>
      <c r="R68" s="32"/>
      <c r="S68" s="32"/>
    </row>
    <row r="69" spans="2:19" x14ac:dyDescent="0.25">
      <c r="B69" s="30" t="s">
        <v>231</v>
      </c>
      <c r="C69" s="30"/>
      <c r="D69" s="30"/>
      <c r="E69" s="30"/>
      <c r="F69" s="30"/>
      <c r="G69" s="30"/>
      <c r="H69" s="30"/>
      <c r="I69" s="30"/>
      <c r="J69" s="30"/>
      <c r="K69" s="30"/>
      <c r="L69" s="104"/>
      <c r="M69" s="235"/>
      <c r="N69" s="235"/>
      <c r="O69" s="235"/>
      <c r="P69" s="104"/>
      <c r="Q69" s="104"/>
      <c r="R69" s="104"/>
    </row>
    <row r="70" spans="2:19" x14ac:dyDescent="0.25">
      <c r="M70" s="233"/>
      <c r="N70" s="233"/>
      <c r="O70" s="233"/>
    </row>
    <row r="71" spans="2:19" x14ac:dyDescent="0.25">
      <c r="D71"/>
      <c r="E71" t="s">
        <v>232</v>
      </c>
      <c r="G71" s="6" t="s">
        <v>55</v>
      </c>
      <c r="H71" s="26">
        <f t="array" ref="H71">SUM(IF(ISERROR(J16:P67), 1))</f>
        <v>0</v>
      </c>
      <c r="M71" s="233"/>
      <c r="N71" s="233"/>
      <c r="O71" s="233"/>
    </row>
    <row r="72" spans="2:19" x14ac:dyDescent="0.25">
      <c r="M72" s="233"/>
      <c r="N72" s="233"/>
      <c r="O72" s="233"/>
    </row>
    <row r="73" spans="2:19" x14ac:dyDescent="0.25">
      <c r="B73" s="30" t="s">
        <v>106</v>
      </c>
      <c r="C73" s="30"/>
      <c r="D73" s="30"/>
      <c r="E73" s="30"/>
      <c r="F73" s="30"/>
      <c r="G73" s="30"/>
      <c r="H73" s="30"/>
      <c r="I73" s="30"/>
      <c r="J73" s="30"/>
      <c r="K73" s="30"/>
      <c r="L73" s="104"/>
      <c r="M73" s="235"/>
      <c r="N73" s="235"/>
      <c r="O73" s="235"/>
      <c r="P73" s="104"/>
      <c r="Q73" s="104"/>
      <c r="R73" s="104"/>
    </row>
    <row r="74" spans="2:19" x14ac:dyDescent="0.25">
      <c r="M74" s="233"/>
      <c r="N74" s="233"/>
      <c r="O74" s="233"/>
    </row>
    <row r="75" spans="2:19" x14ac:dyDescent="0.25">
      <c r="D75"/>
    </row>
  </sheetData>
  <sheetProtection sheet="1" objects="1" formatCells="0" formatColumns="0" formatRows="0" sort="0" autoFilter="0"/>
  <conditionalFormatting sqref="H71">
    <cfRule type="cellIs" dxfId="3" priority="12" operator="greaterThan">
      <formula>0</formula>
    </cfRule>
  </conditionalFormatting>
  <conditionalFormatting sqref="A4:XFD4">
    <cfRule type="expression" dxfId="2"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JX80"/>
  <sheetViews>
    <sheetView showGridLines="0" zoomScale="80" zoomScaleNormal="80" workbookViewId="0">
      <pane xSplit="9" ySplit="5" topLeftCell="J11" activePane="bottomRight" state="frozen"/>
      <selection pane="topRight"/>
      <selection pane="bottomLeft"/>
      <selection pane="bottomRight" activeCell="J32" sqref="J32"/>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2" width="17" customWidth="1"/>
    <col min="23" max="23" width="2.42578125" customWidth="1"/>
    <col min="24" max="24" width="50.5703125" customWidth="1"/>
    <col min="25" max="25" width="2.42578125" customWidth="1"/>
    <col min="26" max="28" width="17" hidden="1" customWidth="1"/>
    <col min="29" max="29" width="2.42578125" hidden="1" customWidth="1"/>
    <col min="30" max="30" width="18.42578125" hidden="1" customWidth="1"/>
    <col min="31" max="31" width="4.42578125" hidden="1" customWidth="1"/>
    <col min="32" max="284" width="24.5703125" hidden="1" customWidth="1"/>
    <col min="285" max="16384" width="8.5703125" hidden="1"/>
  </cols>
  <sheetData>
    <row r="1" spans="1:24" s="1" customFormat="1" x14ac:dyDescent="0.25">
      <c r="A1" s="1" t="str">
        <f ca="1">MID(CELL("filename",A1),FIND("]",CELL("filename",A1))+1,255)</f>
        <v>Output to other models</v>
      </c>
    </row>
    <row r="2" spans="1:24" s="1" customFormat="1" x14ac:dyDescent="0.25">
      <c r="A2" s="1" t="str">
        <f>Cover!D21&amp;" - "&amp;Cover!D23</f>
        <v>WPD East Midlands - April 21 Prices</v>
      </c>
    </row>
    <row r="3" spans="1:24" s="5" customFormat="1" x14ac:dyDescent="0.25">
      <c r="A3" s="5" t="str">
        <f>Cover!D2&amp;" - "&amp;Cover!D8&amp;" v"&amp;Cover!D10&amp;" - "&amp;Cover!D19</f>
        <v>CDCM charging model - Release for charge setting v5 - 2021/22</v>
      </c>
    </row>
    <row r="4" spans="1:24" x14ac:dyDescent="0.25">
      <c r="A4" s="12" t="str">
        <f>H78 &amp; IF(H78 = 1, " issue", " issues") &amp;" identified in checks on this sheet"</f>
        <v>0 issues identified in checks on this sheet</v>
      </c>
      <c r="B4" s="13"/>
      <c r="C4" s="13"/>
      <c r="D4" s="13"/>
      <c r="E4" s="13"/>
      <c r="F4" s="13"/>
      <c r="G4" s="13"/>
      <c r="H4" s="14"/>
      <c r="I4" s="14"/>
      <c r="J4" s="13"/>
    </row>
    <row r="5" spans="1:24" x14ac:dyDescent="0.25">
      <c r="B5" s="59" t="s">
        <v>142</v>
      </c>
      <c r="C5" s="60"/>
      <c r="D5" s="60"/>
      <c r="E5" s="60"/>
      <c r="F5" s="60"/>
      <c r="G5" s="61" t="s">
        <v>143</v>
      </c>
      <c r="H5" s="93" t="s">
        <v>144</v>
      </c>
      <c r="X5" s="61" t="s">
        <v>145</v>
      </c>
    </row>
    <row r="7" spans="1:24" x14ac:dyDescent="0.25">
      <c r="B7" s="30" t="s">
        <v>10</v>
      </c>
      <c r="C7" s="30"/>
      <c r="D7" s="30"/>
      <c r="E7" s="30"/>
      <c r="F7" s="30"/>
      <c r="G7" s="30"/>
      <c r="H7" s="30"/>
      <c r="I7" s="30"/>
      <c r="J7" s="30"/>
      <c r="K7" s="30"/>
      <c r="L7" s="105"/>
      <c r="M7" s="105"/>
      <c r="N7" s="105"/>
      <c r="O7" s="105"/>
      <c r="P7" s="105"/>
      <c r="Q7" s="105"/>
      <c r="R7" s="105"/>
      <c r="S7" s="105"/>
      <c r="T7" s="105"/>
      <c r="U7" s="105"/>
      <c r="V7" s="105"/>
      <c r="W7" s="105"/>
      <c r="X7" s="105"/>
    </row>
    <row r="9" spans="1:24" x14ac:dyDescent="0.25">
      <c r="C9" s="29" t="s">
        <v>919</v>
      </c>
      <c r="E9"/>
    </row>
    <row r="10" spans="1:24" x14ac:dyDescent="0.25">
      <c r="C10" s="29" t="s">
        <v>920</v>
      </c>
      <c r="E10"/>
    </row>
    <row r="12" spans="1:24" x14ac:dyDescent="0.25">
      <c r="B12" s="30" t="s">
        <v>921</v>
      </c>
      <c r="C12" s="30"/>
      <c r="D12" s="30"/>
      <c r="E12" s="30"/>
      <c r="F12" s="30"/>
      <c r="G12" s="30"/>
      <c r="H12" s="30"/>
      <c r="I12" s="30"/>
      <c r="J12" s="30"/>
      <c r="K12" s="30"/>
      <c r="L12" s="105"/>
      <c r="M12" s="105"/>
      <c r="N12" s="105"/>
      <c r="O12" s="105"/>
      <c r="P12" s="105"/>
      <c r="Q12" s="105"/>
      <c r="R12" s="105"/>
      <c r="S12" s="105"/>
      <c r="T12" s="105"/>
      <c r="U12" s="105"/>
      <c r="V12" s="105"/>
      <c r="W12" s="105"/>
      <c r="X12" s="105"/>
    </row>
    <row r="14" spans="1:24" x14ac:dyDescent="0.25">
      <c r="B14" s="29"/>
      <c r="C14" s="31" t="str">
        <f ca="1">INDEX('Version control'!$H$34:$H$57,MATCH($A$1,'Version control'!$F$34:$F$57,0),1)&amp;"-A: CDCM notional EHV asset values"</f>
        <v>Output 102-A: CDCM notional EHV asset values</v>
      </c>
      <c r="D14" s="31"/>
      <c r="E14" s="31"/>
      <c r="F14" s="31"/>
      <c r="G14" s="31"/>
      <c r="H14" s="31"/>
      <c r="I14" s="31"/>
      <c r="J14" s="31"/>
      <c r="K14" s="31"/>
      <c r="L14" s="31"/>
      <c r="M14" s="31"/>
      <c r="N14" s="31"/>
      <c r="O14" s="31"/>
      <c r="P14" s="31"/>
      <c r="Q14" s="31"/>
      <c r="R14" s="31"/>
      <c r="S14" s="31"/>
      <c r="T14" s="31"/>
      <c r="U14" s="31"/>
      <c r="V14" s="31"/>
      <c r="W14" s="31"/>
      <c r="X14" s="31"/>
    </row>
    <row r="16" spans="1:24" x14ac:dyDescent="0.25">
      <c r="D16" s="29" t="s">
        <v>922</v>
      </c>
      <c r="E16"/>
    </row>
    <row r="17" spans="2:24" x14ac:dyDescent="0.25">
      <c r="D17" s="29"/>
      <c r="E17"/>
    </row>
    <row r="18" spans="2:24" x14ac:dyDescent="0.25">
      <c r="E18" s="32" t="s">
        <v>923</v>
      </c>
    </row>
    <row r="19" spans="2:24" x14ac:dyDescent="0.25">
      <c r="F19" s="64" t="s">
        <v>192</v>
      </c>
      <c r="G19" s="23" t="s">
        <v>277</v>
      </c>
      <c r="H19" s="236">
        <f t="array" ref="H19:H23">TRANSPOSE('Unit costs'!L108:P108)</f>
        <v>485283521.86077666</v>
      </c>
    </row>
    <row r="20" spans="2:24" x14ac:dyDescent="0.25">
      <c r="E20"/>
      <c r="F20" s="28" t="s">
        <v>193</v>
      </c>
      <c r="G20" t="s">
        <v>277</v>
      </c>
      <c r="H20" s="237">
        <v>252073177.00361472</v>
      </c>
    </row>
    <row r="21" spans="2:24" x14ac:dyDescent="0.25">
      <c r="E21"/>
      <c r="F21" s="28" t="s">
        <v>194</v>
      </c>
      <c r="G21" t="s">
        <v>277</v>
      </c>
      <c r="H21" s="237">
        <v>331467266.3521179</v>
      </c>
    </row>
    <row r="22" spans="2:24" x14ac:dyDescent="0.25">
      <c r="E22"/>
      <c r="F22" s="28" t="s">
        <v>195</v>
      </c>
      <c r="G22" t="s">
        <v>277</v>
      </c>
      <c r="H22" s="237">
        <v>671781086.07575023</v>
      </c>
    </row>
    <row r="23" spans="2:24" x14ac:dyDescent="0.25">
      <c r="E23"/>
      <c r="F23" s="67" t="s">
        <v>196</v>
      </c>
      <c r="G23" s="37" t="s">
        <v>277</v>
      </c>
      <c r="H23" s="238">
        <v>58718825.142178521</v>
      </c>
    </row>
    <row r="25" spans="2:24" x14ac:dyDescent="0.25">
      <c r="B25" s="30" t="s">
        <v>924</v>
      </c>
      <c r="C25" s="30"/>
      <c r="D25" s="30"/>
      <c r="E25" s="30"/>
      <c r="F25" s="30"/>
      <c r="G25" s="30"/>
      <c r="H25" s="30"/>
      <c r="I25" s="30"/>
      <c r="J25" s="30"/>
      <c r="K25" s="30"/>
      <c r="L25" s="105"/>
      <c r="M25" s="105"/>
      <c r="N25" s="105"/>
      <c r="O25" s="105"/>
      <c r="P25" s="105"/>
      <c r="Q25" s="105"/>
      <c r="R25" s="105"/>
      <c r="S25" s="105"/>
      <c r="T25" s="105"/>
      <c r="U25" s="105"/>
      <c r="V25" s="105"/>
      <c r="W25" s="105"/>
      <c r="X25" s="105"/>
    </row>
    <row r="27" spans="2:24" x14ac:dyDescent="0.25">
      <c r="C27" s="31" t="str">
        <f ca="1">INDEX('Version control'!$H$34:$H$57,MATCH($A$1,'Version control'!$F$34:$F$57,0),1)&amp;"-B: CDCM end user tariff forecast"</f>
        <v>Output 102-B: CDCM end user tariff forecast</v>
      </c>
      <c r="D27" s="31"/>
      <c r="E27" s="31"/>
      <c r="F27" s="31"/>
      <c r="G27" s="31"/>
      <c r="H27" s="31"/>
      <c r="I27" s="31"/>
      <c r="J27" s="31"/>
      <c r="K27" s="31"/>
      <c r="L27" s="31"/>
      <c r="M27" s="31"/>
      <c r="N27" s="31"/>
      <c r="O27" s="31"/>
      <c r="P27" s="31"/>
      <c r="Q27" s="31"/>
      <c r="R27" s="31"/>
      <c r="S27" s="31"/>
      <c r="T27" s="31"/>
      <c r="U27" s="31"/>
      <c r="V27" s="31"/>
      <c r="W27" s="31"/>
      <c r="X27" s="31"/>
    </row>
    <row r="29" spans="2:24" x14ac:dyDescent="0.25">
      <c r="D29" s="29" t="s">
        <v>1068</v>
      </c>
      <c r="E29"/>
    </row>
    <row r="31" spans="2:24" ht="45" x14ac:dyDescent="0.25">
      <c r="C31" s="239"/>
      <c r="E31" s="32" t="s">
        <v>925</v>
      </c>
      <c r="J31" s="240" t="s">
        <v>940</v>
      </c>
      <c r="K31" s="240" t="s">
        <v>942</v>
      </c>
      <c r="L31" s="240" t="s">
        <v>941</v>
      </c>
      <c r="M31" s="240" t="s">
        <v>943</v>
      </c>
      <c r="N31" s="240" t="s">
        <v>949</v>
      </c>
      <c r="O31" s="240" t="s">
        <v>950</v>
      </c>
      <c r="P31" s="240" t="s">
        <v>951</v>
      </c>
      <c r="Q31" s="240" t="s">
        <v>952</v>
      </c>
      <c r="R31" s="240" t="s">
        <v>944</v>
      </c>
      <c r="S31" s="240" t="s">
        <v>945</v>
      </c>
      <c r="T31" s="240" t="s">
        <v>946</v>
      </c>
      <c r="U31" s="240" t="s">
        <v>947</v>
      </c>
      <c r="V31" s="240" t="s">
        <v>948</v>
      </c>
    </row>
    <row r="32" spans="2:24" x14ac:dyDescent="0.25">
      <c r="C32" s="239"/>
      <c r="D32"/>
      <c r="F32" s="241" t="s">
        <v>156</v>
      </c>
      <c r="G32" s="241" t="s">
        <v>269</v>
      </c>
      <c r="H32" s="267" t="s">
        <v>884</v>
      </c>
      <c r="I32" s="267"/>
      <c r="J32" s="292">
        <f>Rounding!J90</f>
        <v>8.7427289359258715</v>
      </c>
      <c r="K32" s="292">
        <f>Rounding!K90</f>
        <v>8.7427289359258715</v>
      </c>
      <c r="L32" s="292">
        <f>Rounding!L90</f>
        <v>7.690100579913139</v>
      </c>
      <c r="M32" s="292">
        <f>Rounding!M90</f>
        <v>7.690100579913139</v>
      </c>
      <c r="N32" s="292">
        <f>Rounding!N90</f>
        <v>5.8015064465092836</v>
      </c>
      <c r="O32" s="292">
        <f>Rounding!O90</f>
        <v>4.1836457819987078</v>
      </c>
      <c r="P32" s="292">
        <f>Rounding!P90</f>
        <v>2.9030072773222502</v>
      </c>
      <c r="Q32" s="292">
        <f>Rounding!Q90</f>
        <v>21.762261688862051</v>
      </c>
      <c r="R32" s="292">
        <f>Rounding!R90</f>
        <v>-4.752126966792952</v>
      </c>
      <c r="S32" s="292">
        <f>Rounding!S90</f>
        <v>-4.1687283895347562</v>
      </c>
      <c r="T32" s="292">
        <f>Rounding!T90</f>
        <v>-4.752126966792952</v>
      </c>
      <c r="U32" s="292">
        <f>Rounding!V90</f>
        <v>-4.1687283895347562</v>
      </c>
      <c r="V32" s="292">
        <f>Rounding!X90</f>
        <v>-2.7260556362386072</v>
      </c>
      <c r="W32" s="269"/>
      <c r="X32" s="269"/>
    </row>
    <row r="33" spans="3:24" x14ac:dyDescent="0.25">
      <c r="C33" s="239"/>
      <c r="D33"/>
      <c r="F33" s="242" t="s">
        <v>157</v>
      </c>
      <c r="G33" s="242" t="s">
        <v>269</v>
      </c>
      <c r="H33" s="269" t="s">
        <v>884</v>
      </c>
      <c r="I33" s="269"/>
      <c r="J33" s="293">
        <f>Rounding!J91</f>
        <v>1.8681379522619994</v>
      </c>
      <c r="K33" s="293">
        <f>Rounding!K91</f>
        <v>1.8681379522619994</v>
      </c>
      <c r="L33" s="293">
        <f>Rounding!L91</f>
        <v>1.735098829312882</v>
      </c>
      <c r="M33" s="293">
        <f>Rounding!M91</f>
        <v>1.735098829312882</v>
      </c>
      <c r="N33" s="293">
        <f>Rounding!N91</f>
        <v>1.4732733392414865</v>
      </c>
      <c r="O33" s="293">
        <f>Rounding!O91</f>
        <v>1.2420835427786452</v>
      </c>
      <c r="P33" s="293">
        <f>Rounding!P91</f>
        <v>1.065117877361542</v>
      </c>
      <c r="Q33" s="293">
        <f>Rounding!Q91</f>
        <v>2.4874178657210075</v>
      </c>
      <c r="R33" s="293">
        <f>Rounding!R91</f>
        <v>-0.6006097025542575</v>
      </c>
      <c r="S33" s="293">
        <f>Rounding!S91</f>
        <v>-0.51495336021881366</v>
      </c>
      <c r="T33" s="293">
        <f>Rounding!T91</f>
        <v>-0.6006097025542575</v>
      </c>
      <c r="U33" s="293">
        <f>Rounding!V91</f>
        <v>-0.51495336021881366</v>
      </c>
      <c r="V33" s="293">
        <f>Rounding!X91</f>
        <v>-0.29638866966229255</v>
      </c>
      <c r="W33" s="269"/>
      <c r="X33" s="269"/>
    </row>
    <row r="34" spans="3:24" x14ac:dyDescent="0.25">
      <c r="C34" s="239"/>
      <c r="D34"/>
      <c r="F34" s="242" t="s">
        <v>158</v>
      </c>
      <c r="G34" s="242" t="s">
        <v>269</v>
      </c>
      <c r="H34" s="269" t="s">
        <v>884</v>
      </c>
      <c r="I34" s="269"/>
      <c r="J34" s="293">
        <f>Rounding!J92</f>
        <v>0.93494192872012793</v>
      </c>
      <c r="K34" s="293">
        <f>Rounding!K92</f>
        <v>0.93494192872012793</v>
      </c>
      <c r="L34" s="293">
        <f>Rounding!L92</f>
        <v>0.92673307096440571</v>
      </c>
      <c r="M34" s="293">
        <f>Rounding!M92</f>
        <v>0.92673307096440571</v>
      </c>
      <c r="N34" s="293">
        <f>Rounding!N92</f>
        <v>0.90966625843415272</v>
      </c>
      <c r="O34" s="293">
        <f>Rounding!O92</f>
        <v>0.89434860670423133</v>
      </c>
      <c r="P34" s="293">
        <f>Rounding!P92</f>
        <v>0.88284377030681016</v>
      </c>
      <c r="Q34" s="293">
        <f>Rounding!Q92</f>
        <v>1.7204661928768328</v>
      </c>
      <c r="R34" s="293">
        <f>Rounding!R92</f>
        <v>-3.7059171059480152E-2</v>
      </c>
      <c r="S34" s="293">
        <f>Rounding!S92</f>
        <v>-3.1304146471503695E-2</v>
      </c>
      <c r="T34" s="293">
        <f>Rounding!T92</f>
        <v>-3.7059171059480152E-2</v>
      </c>
      <c r="U34" s="293">
        <f>Rounding!V92</f>
        <v>-3.1304146471503695E-2</v>
      </c>
      <c r="V34" s="293">
        <f>Rounding!X92</f>
        <v>-1.6392243650649556E-2</v>
      </c>
      <c r="W34" s="269"/>
      <c r="X34" s="269"/>
    </row>
    <row r="35" spans="3:24" x14ac:dyDescent="0.25">
      <c r="C35" s="239"/>
      <c r="D35"/>
      <c r="F35" s="242" t="s">
        <v>159</v>
      </c>
      <c r="G35" s="242" t="s">
        <v>270</v>
      </c>
      <c r="H35" t="s">
        <v>884</v>
      </c>
      <c r="J35" s="237">
        <f>Rounding!J93</f>
        <v>3.5774503749484534</v>
      </c>
      <c r="K35" s="237">
        <f>Rounding!K93</f>
        <v>0</v>
      </c>
      <c r="L35" s="237">
        <f>Rounding!L93</f>
        <v>7.2796214285118062</v>
      </c>
      <c r="M35" s="237">
        <f>Rounding!M93</f>
        <v>0</v>
      </c>
      <c r="N35" s="237">
        <f>Rounding!N93</f>
        <v>11.209229102763059</v>
      </c>
      <c r="O35" s="237">
        <f>Rounding!O93</f>
        <v>8.750007900649587</v>
      </c>
      <c r="P35" s="237">
        <f>Rounding!P93</f>
        <v>80.778634860261405</v>
      </c>
      <c r="Q35" s="237">
        <f>Rounding!Q93</f>
        <v>0</v>
      </c>
      <c r="R35" s="237">
        <f>Rounding!R93</f>
        <v>0</v>
      </c>
      <c r="S35" s="237">
        <f>Rounding!S93</f>
        <v>0</v>
      </c>
      <c r="T35" s="237">
        <f>Rounding!T93</f>
        <v>0</v>
      </c>
      <c r="U35" s="237">
        <f>Rounding!V93</f>
        <v>0</v>
      </c>
      <c r="V35" s="237">
        <f>Rounding!X93</f>
        <v>50.554717600698972</v>
      </c>
    </row>
    <row r="36" spans="3:24" x14ac:dyDescent="0.25">
      <c r="C36" s="239"/>
      <c r="D36"/>
      <c r="F36" s="242" t="s">
        <v>160</v>
      </c>
      <c r="G36" s="242" t="s">
        <v>271</v>
      </c>
      <c r="H36" t="s">
        <v>884</v>
      </c>
      <c r="J36" s="237">
        <f>Rounding!J94</f>
        <v>0</v>
      </c>
      <c r="K36" s="237">
        <f>Rounding!K94</f>
        <v>0</v>
      </c>
      <c r="L36" s="237">
        <f>Rounding!L94</f>
        <v>0</v>
      </c>
      <c r="M36" s="237">
        <f>Rounding!M94</f>
        <v>0</v>
      </c>
      <c r="N36" s="237">
        <f>Rounding!N94</f>
        <v>2.9022773697333371</v>
      </c>
      <c r="O36" s="237">
        <f>Rounding!O94</f>
        <v>3.5192649102564451</v>
      </c>
      <c r="P36" s="237">
        <f>Rounding!P94</f>
        <v>4.2758402624206795</v>
      </c>
      <c r="Q36" s="237">
        <f>Rounding!Q94</f>
        <v>0</v>
      </c>
      <c r="R36" s="237">
        <f>Rounding!R94</f>
        <v>0</v>
      </c>
      <c r="S36" s="237">
        <f>Rounding!S94</f>
        <v>0</v>
      </c>
      <c r="T36" s="237">
        <f>Rounding!T94</f>
        <v>0</v>
      </c>
      <c r="U36" s="237">
        <f>Rounding!V94</f>
        <v>0</v>
      </c>
      <c r="V36" s="237">
        <f>Rounding!X94</f>
        <v>0</v>
      </c>
    </row>
    <row r="37" spans="3:24" x14ac:dyDescent="0.25">
      <c r="C37" s="239"/>
      <c r="D37"/>
      <c r="F37" s="242" t="s">
        <v>161</v>
      </c>
      <c r="G37" s="242" t="s">
        <v>271</v>
      </c>
      <c r="H37" t="s">
        <v>884</v>
      </c>
      <c r="J37" s="237">
        <f>Rounding!J95</f>
        <v>0</v>
      </c>
      <c r="K37" s="237">
        <f>Rounding!K95</f>
        <v>0</v>
      </c>
      <c r="L37" s="237">
        <f>Rounding!L95</f>
        <v>0</v>
      </c>
      <c r="M37" s="237">
        <f>Rounding!M95</f>
        <v>0</v>
      </c>
      <c r="N37" s="237">
        <f>Rounding!N95</f>
        <v>5.7538465988133698</v>
      </c>
      <c r="O37" s="237">
        <f>Rounding!O95</f>
        <v>5.3097024839345712</v>
      </c>
      <c r="P37" s="237">
        <f>Rounding!P95</f>
        <v>6.1842114491768658</v>
      </c>
      <c r="Q37" s="237">
        <f>Rounding!Q95</f>
        <v>0</v>
      </c>
      <c r="R37" s="237">
        <f>Rounding!R95</f>
        <v>0</v>
      </c>
      <c r="S37" s="237">
        <f>Rounding!S95</f>
        <v>0</v>
      </c>
      <c r="T37" s="237">
        <f>Rounding!T95</f>
        <v>0</v>
      </c>
      <c r="U37" s="237">
        <f>Rounding!V95</f>
        <v>0</v>
      </c>
      <c r="V37" s="237">
        <f>Rounding!X95</f>
        <v>0</v>
      </c>
    </row>
    <row r="38" spans="3:24" x14ac:dyDescent="0.25">
      <c r="C38" s="239"/>
      <c r="D38"/>
      <c r="F38" s="243" t="s">
        <v>162</v>
      </c>
      <c r="G38" s="243" t="s">
        <v>272</v>
      </c>
      <c r="H38" s="273" t="s">
        <v>884</v>
      </c>
      <c r="I38" s="273"/>
      <c r="J38" s="294">
        <f>Rounding!J96</f>
        <v>0</v>
      </c>
      <c r="K38" s="294">
        <f>Rounding!K96</f>
        <v>0</v>
      </c>
      <c r="L38" s="294">
        <f>Rounding!L96</f>
        <v>0</v>
      </c>
      <c r="M38" s="294">
        <f>Rounding!M96</f>
        <v>0</v>
      </c>
      <c r="N38" s="294">
        <f>Rounding!N96</f>
        <v>0.15692255620699452</v>
      </c>
      <c r="O38" s="294">
        <f>Rounding!O96</f>
        <v>0.11131765254811224</v>
      </c>
      <c r="P38" s="294">
        <f>Rounding!P96</f>
        <v>5.7053720558470841E-2</v>
      </c>
      <c r="Q38" s="294">
        <f>Rounding!Q96</f>
        <v>0</v>
      </c>
      <c r="R38" s="294">
        <f>Rounding!R96</f>
        <v>0</v>
      </c>
      <c r="S38" s="294">
        <f>Rounding!S96</f>
        <v>0</v>
      </c>
      <c r="T38" s="294">
        <f>Rounding!T96</f>
        <v>0.15558506248767914</v>
      </c>
      <c r="U38" s="294">
        <f>Rounding!V96</f>
        <v>0.13073382681730653</v>
      </c>
      <c r="V38" s="294">
        <f>Rounding!X96</f>
        <v>0.10505458869968366</v>
      </c>
      <c r="W38" s="269"/>
      <c r="X38" s="269"/>
    </row>
    <row r="39" spans="3:24" x14ac:dyDescent="0.25">
      <c r="D39"/>
      <c r="E39"/>
      <c r="F39" s="244"/>
    </row>
    <row r="40" spans="3:24" x14ac:dyDescent="0.25">
      <c r="D40" s="29" t="s">
        <v>1067</v>
      </c>
      <c r="E40"/>
    </row>
    <row r="42" spans="3:24" ht="60" customHeight="1" x14ac:dyDescent="0.25">
      <c r="D42"/>
      <c r="E42"/>
      <c r="F42" s="244"/>
      <c r="J42" s="240" t="s">
        <v>940</v>
      </c>
      <c r="K42" s="240" t="s">
        <v>942</v>
      </c>
      <c r="L42" s="240" t="s">
        <v>941</v>
      </c>
      <c r="M42" s="240" t="s">
        <v>943</v>
      </c>
      <c r="N42" s="240" t="s">
        <v>949</v>
      </c>
      <c r="O42" s="240" t="s">
        <v>950</v>
      </c>
      <c r="P42" s="240" t="s">
        <v>951</v>
      </c>
      <c r="Q42" s="240" t="s">
        <v>952</v>
      </c>
      <c r="R42" s="240" t="s">
        <v>944</v>
      </c>
      <c r="S42" s="240" t="s">
        <v>945</v>
      </c>
      <c r="T42" s="240" t="s">
        <v>946</v>
      </c>
      <c r="U42" s="240" t="s">
        <v>947</v>
      </c>
      <c r="V42" s="240" t="s">
        <v>948</v>
      </c>
    </row>
    <row r="43" spans="3:24" x14ac:dyDescent="0.25">
      <c r="D43"/>
      <c r="E43" t="s">
        <v>1058</v>
      </c>
      <c r="F43" s="244"/>
      <c r="G43" t="s">
        <v>270</v>
      </c>
      <c r="J43" s="237">
        <f>'Fixed charge adder'!J46</f>
        <v>0.165912672166074</v>
      </c>
      <c r="K43" s="237">
        <f>'Fixed charge adder'!K46</f>
        <v>0</v>
      </c>
      <c r="L43" s="237">
        <f>'Fixed charge adder'!L46</f>
        <v>0.15717184865321343</v>
      </c>
      <c r="M43" s="237">
        <f>'Fixed charge adder'!M46</f>
        <v>0</v>
      </c>
      <c r="N43" s="237">
        <f>'Fixed charge adder'!N46</f>
        <v>0.15717184865321343</v>
      </c>
      <c r="O43" s="237">
        <f>'Fixed charge adder'!O46</f>
        <v>0.15717184865321343</v>
      </c>
      <c r="P43" s="237">
        <f>'Fixed charge adder'!P46</f>
        <v>0.15717184865321343</v>
      </c>
      <c r="Q43" s="237">
        <f>'Fixed charge adder'!Q46</f>
        <v>0</v>
      </c>
      <c r="R43" s="237">
        <f>'Fixed charge adder'!R46</f>
        <v>0</v>
      </c>
      <c r="S43" s="237">
        <f>'Fixed charge adder'!S46</f>
        <v>0</v>
      </c>
      <c r="T43" s="237">
        <f>'Fixed charge adder'!T46</f>
        <v>0</v>
      </c>
      <c r="U43" s="237">
        <f>'Fixed charge adder'!V46</f>
        <v>0</v>
      </c>
      <c r="V43" s="237">
        <f>'Fixed charge adder'!X46</f>
        <v>0</v>
      </c>
    </row>
    <row r="44" spans="3:24" x14ac:dyDescent="0.25">
      <c r="D44"/>
      <c r="E44"/>
      <c r="F44" s="244"/>
    </row>
    <row r="45" spans="3:24" x14ac:dyDescent="0.25">
      <c r="C45" s="31" t="str">
        <f ca="1">INDEX('Version control'!$H$34:$H$57,MATCH($A$1,'Version control'!$F$34:$F$57,0),1)&amp;"-C: CDCM non-tariff outputs to EDCM"</f>
        <v>Output 102-C: CDCM non-tariff outputs to EDCM</v>
      </c>
      <c r="D45" s="31"/>
      <c r="E45" s="31"/>
      <c r="F45" s="31"/>
      <c r="G45" s="31"/>
      <c r="H45" s="31"/>
      <c r="I45" s="31"/>
      <c r="J45" s="31"/>
      <c r="K45" s="31"/>
      <c r="L45" s="31"/>
      <c r="M45" s="31"/>
      <c r="N45" s="31"/>
      <c r="O45" s="31"/>
      <c r="P45" s="31"/>
      <c r="Q45" s="31"/>
      <c r="R45" s="31"/>
      <c r="S45" s="31"/>
      <c r="T45" s="31"/>
      <c r="U45" s="31"/>
      <c r="V45" s="31"/>
      <c r="W45" s="31"/>
      <c r="X45" s="31"/>
    </row>
    <row r="46" spans="3:24" x14ac:dyDescent="0.25">
      <c r="C46" s="2"/>
      <c r="D46"/>
    </row>
    <row r="47" spans="3:24" x14ac:dyDescent="0.25">
      <c r="D47" s="29" t="s">
        <v>926</v>
      </c>
      <c r="E47"/>
    </row>
    <row r="49" spans="2:24" x14ac:dyDescent="0.25">
      <c r="D49"/>
      <c r="F49" s="2"/>
      <c r="G49" s="2"/>
      <c r="H49" s="2"/>
      <c r="I49" s="2"/>
      <c r="J49" s="114" t="s">
        <v>191</v>
      </c>
      <c r="K49" s="114" t="s">
        <v>192</v>
      </c>
      <c r="L49" s="114" t="s">
        <v>193</v>
      </c>
      <c r="M49" s="114" t="s">
        <v>194</v>
      </c>
      <c r="N49" s="114" t="s">
        <v>195</v>
      </c>
      <c r="O49" s="114" t="s">
        <v>196</v>
      </c>
      <c r="P49" s="114" t="s">
        <v>197</v>
      </c>
      <c r="Q49" s="114" t="s">
        <v>198</v>
      </c>
      <c r="R49" s="114" t="s">
        <v>199</v>
      </c>
      <c r="S49" s="114" t="s">
        <v>376</v>
      </c>
      <c r="T49" s="114" t="s">
        <v>377</v>
      </c>
    </row>
    <row r="50" spans="2:24" x14ac:dyDescent="0.25">
      <c r="D50"/>
      <c r="E50" s="309" t="s">
        <v>937</v>
      </c>
      <c r="F50" s="309"/>
      <c r="G50" s="67" t="s">
        <v>167</v>
      </c>
      <c r="H50" s="37"/>
      <c r="I50" s="37"/>
      <c r="J50" s="310"/>
      <c r="K50" s="311">
        <f t="array" ref="K50:O50">TRANSPOSE('System peak demand'!H227:H231)</f>
        <v>7.0839672179421997E-2</v>
      </c>
      <c r="L50" s="311">
        <v>7.0839672179421997E-2</v>
      </c>
      <c r="M50" s="311">
        <v>0.15545489876905783</v>
      </c>
      <c r="N50" s="311">
        <v>0.15545489876905783</v>
      </c>
      <c r="O50" s="311">
        <v>7.0839672179421997E-2</v>
      </c>
      <c r="P50" s="310"/>
      <c r="Q50" s="310"/>
      <c r="R50" s="310"/>
      <c r="S50" s="310"/>
      <c r="T50" s="310"/>
    </row>
    <row r="51" spans="2:24" x14ac:dyDescent="0.25">
      <c r="D51"/>
      <c r="E51" s="312" t="s">
        <v>938</v>
      </c>
      <c r="F51" s="312"/>
      <c r="G51" s="108" t="s">
        <v>520</v>
      </c>
      <c r="H51" s="108"/>
      <c r="I51" s="108"/>
      <c r="J51" s="313">
        <f t="array" ref="J51:O51">TRANSPOSE('System peak demand'!H154:H159)</f>
        <v>4224472.119039217</v>
      </c>
      <c r="K51" s="313">
        <v>4197474.0081996443</v>
      </c>
      <c r="L51" s="313">
        <v>3870899.3660010672</v>
      </c>
      <c r="M51" s="313">
        <v>3822287.7947596693</v>
      </c>
      <c r="N51" s="313">
        <v>3799803.7489081416</v>
      </c>
      <c r="O51" s="313">
        <v>309746.73335997039</v>
      </c>
      <c r="P51" s="314"/>
      <c r="Q51" s="314"/>
      <c r="R51" s="314"/>
      <c r="S51" s="314"/>
      <c r="T51" s="314"/>
    </row>
    <row r="52" spans="2:24" x14ac:dyDescent="0.25">
      <c r="D52"/>
      <c r="E52" s="312" t="s">
        <v>927</v>
      </c>
      <c r="F52" s="312"/>
      <c r="G52" s="108" t="s">
        <v>277</v>
      </c>
      <c r="H52" s="108"/>
      <c r="I52" s="108"/>
      <c r="J52" s="314"/>
      <c r="K52" s="313">
        <f>'Unit costs'!L108</f>
        <v>485283521.86077666</v>
      </c>
      <c r="L52" s="313">
        <f>'Unit costs'!M108</f>
        <v>252073177.00361472</v>
      </c>
      <c r="M52" s="313">
        <f>'Unit costs'!N108</f>
        <v>331467266.3521179</v>
      </c>
      <c r="N52" s="313">
        <f>'Unit costs'!O108</f>
        <v>671781086.07575023</v>
      </c>
      <c r="O52" s="313">
        <f>'Unit costs'!P108</f>
        <v>58718825.142178521</v>
      </c>
      <c r="P52" s="313">
        <f>'Unit costs'!Q108</f>
        <v>1513440543.8791625</v>
      </c>
      <c r="Q52" s="313">
        <f>'Unit costs'!R108</f>
        <v>547686663.53640187</v>
      </c>
      <c r="R52" s="313">
        <f>'Unit costs'!S108</f>
        <v>867452179.9692502</v>
      </c>
      <c r="S52" s="313">
        <f>'Unit costs'!T108</f>
        <v>821442458.03830409</v>
      </c>
      <c r="T52" s="313">
        <f>'Unit costs'!U108</f>
        <v>37080195.9970714</v>
      </c>
    </row>
    <row r="53" spans="2:24" x14ac:dyDescent="0.25">
      <c r="D53"/>
      <c r="E53" s="315" t="s">
        <v>392</v>
      </c>
      <c r="F53" s="315"/>
      <c r="G53" s="23" t="s">
        <v>283</v>
      </c>
      <c r="H53" s="23"/>
      <c r="I53" s="23"/>
      <c r="J53" s="236">
        <f>'Load &amp; loss characteristics'!K29</f>
        <v>1</v>
      </c>
      <c r="K53" s="236">
        <f>'Load &amp; loss characteristics'!L29</f>
        <v>1.0029999999999999</v>
      </c>
      <c r="L53" s="236">
        <f>'Load &amp; loss characteristics'!M29</f>
        <v>1.006</v>
      </c>
      <c r="M53" s="236">
        <f>'Load &amp; loss characteristics'!N29</f>
        <v>1.014</v>
      </c>
      <c r="N53" s="236">
        <f>'Load &amp; loss characteristics'!O29</f>
        <v>1.02</v>
      </c>
      <c r="O53" s="236">
        <f>'Load &amp; loss characteristics'!P29</f>
        <v>1.02</v>
      </c>
      <c r="P53" s="83"/>
      <c r="Q53" s="83"/>
      <c r="R53" s="83"/>
      <c r="S53" s="83"/>
      <c r="T53" s="83"/>
    </row>
    <row r="54" spans="2:24" x14ac:dyDescent="0.25">
      <c r="D54"/>
      <c r="E54"/>
      <c r="F54" s="244"/>
    </row>
    <row r="55" spans="2:24" x14ac:dyDescent="0.25">
      <c r="B55" s="30" t="s">
        <v>928</v>
      </c>
      <c r="C55" s="30"/>
      <c r="D55" s="30"/>
      <c r="E55" s="30"/>
      <c r="F55" s="30"/>
      <c r="G55" s="30"/>
      <c r="H55" s="30"/>
      <c r="I55" s="30"/>
      <c r="J55" s="30"/>
      <c r="K55" s="30"/>
      <c r="L55" s="105"/>
      <c r="M55" s="105"/>
      <c r="N55" s="105"/>
      <c r="O55" s="105"/>
      <c r="P55" s="105"/>
      <c r="Q55" s="105"/>
      <c r="R55" s="105"/>
      <c r="S55" s="105"/>
      <c r="T55" s="105"/>
      <c r="U55" s="105"/>
      <c r="V55" s="105"/>
      <c r="W55" s="105"/>
      <c r="X55" s="105"/>
    </row>
    <row r="57" spans="2:24" x14ac:dyDescent="0.25">
      <c r="C57" s="31" t="str">
        <f ca="1">INDEX('Version control'!$H$34:$H$57,MATCH($A$1,'Version control'!$F$34:$F$57,0),1)&amp;"-D: Outputs for DNOs' internal use"</f>
        <v>Output 102-D: Outputs for DNOs' internal use</v>
      </c>
      <c r="D57" s="31"/>
      <c r="E57" s="31"/>
      <c r="F57" s="31"/>
      <c r="G57" s="31"/>
      <c r="H57" s="31"/>
      <c r="I57" s="31"/>
      <c r="J57" s="31"/>
      <c r="K57" s="31"/>
      <c r="L57" s="31"/>
      <c r="M57" s="31"/>
      <c r="N57" s="31"/>
      <c r="O57" s="31"/>
      <c r="P57" s="31"/>
      <c r="Q57" s="31"/>
      <c r="R57" s="31"/>
      <c r="S57" s="31"/>
      <c r="T57" s="31"/>
      <c r="U57" s="31"/>
      <c r="V57" s="31"/>
      <c r="W57" s="31"/>
      <c r="X57" s="31"/>
    </row>
    <row r="59" spans="2:24" x14ac:dyDescent="0.25">
      <c r="D59" s="29" t="s">
        <v>929</v>
      </c>
      <c r="E59"/>
    </row>
    <row r="61" spans="2:24" ht="45" x14ac:dyDescent="0.25">
      <c r="F61" s="2"/>
      <c r="G61" s="2"/>
      <c r="H61" s="2"/>
      <c r="I61" s="2"/>
      <c r="J61" s="240" t="s">
        <v>940</v>
      </c>
      <c r="K61" s="240" t="s">
        <v>942</v>
      </c>
      <c r="L61" s="240" t="s">
        <v>941</v>
      </c>
      <c r="M61" s="240" t="s">
        <v>943</v>
      </c>
      <c r="N61" s="240" t="s">
        <v>949</v>
      </c>
      <c r="O61" s="240" t="s">
        <v>950</v>
      </c>
      <c r="P61" s="240" t="s">
        <v>951</v>
      </c>
      <c r="Q61" s="240" t="s">
        <v>952</v>
      </c>
      <c r="R61" s="240" t="s">
        <v>944</v>
      </c>
      <c r="S61" s="240" t="s">
        <v>945</v>
      </c>
      <c r="T61" s="240" t="s">
        <v>946</v>
      </c>
      <c r="U61" s="240" t="s">
        <v>947</v>
      </c>
      <c r="V61" s="240" t="s">
        <v>948</v>
      </c>
    </row>
    <row r="62" spans="2:24" x14ac:dyDescent="0.25">
      <c r="C62" s="239"/>
      <c r="D62"/>
      <c r="E62" s="37" t="s">
        <v>882</v>
      </c>
      <c r="F62" s="37"/>
      <c r="G62" s="86" t="s">
        <v>277</v>
      </c>
      <c r="H62" s="37" t="s">
        <v>884</v>
      </c>
      <c r="I62" s="37"/>
      <c r="J62" s="238">
        <f>'Net revenue summary'!J128</f>
        <v>87.600406707687327</v>
      </c>
      <c r="K62" s="238" t="str">
        <f>'Net revenue summary'!K128</f>
        <v/>
      </c>
      <c r="L62" s="238">
        <f>'Net revenue summary'!L128</f>
        <v>362.48612402466699</v>
      </c>
      <c r="M62" s="238" t="str">
        <f>'Net revenue summary'!M128</f>
        <v/>
      </c>
      <c r="N62" s="238">
        <f>'Net revenue summary'!N128</f>
        <v>5088.8927084633669</v>
      </c>
      <c r="O62" s="238">
        <f>'Net revenue summary'!O128</f>
        <v>11670.215843249936</v>
      </c>
      <c r="P62" s="238">
        <f>'Net revenue summary'!P128</f>
        <v>37408.624062259747</v>
      </c>
      <c r="Q62" s="238">
        <f>'Net revenue summary'!Q128</f>
        <v>194117.46101176372</v>
      </c>
      <c r="R62" s="238" t="str">
        <f>'Net revenue summary'!R128</f>
        <v/>
      </c>
      <c r="S62" s="238" t="str">
        <f>'Net revenue summary'!S128</f>
        <v/>
      </c>
      <c r="T62" s="238">
        <f>'Net revenue summary'!T128</f>
        <v>-480.57067070724298</v>
      </c>
      <c r="U62" s="238">
        <f>'Net revenue summary'!V128</f>
        <v>-733.0602270895954</v>
      </c>
      <c r="V62" s="238">
        <f>'Net revenue summary'!X128</f>
        <v>-16995.774899976514</v>
      </c>
    </row>
    <row r="63" spans="2:24" x14ac:dyDescent="0.25">
      <c r="C63" s="239"/>
      <c r="D63"/>
      <c r="E63" s="108" t="s">
        <v>887</v>
      </c>
      <c r="F63" s="108"/>
      <c r="G63" s="218" t="s">
        <v>269</v>
      </c>
      <c r="H63" s="316" t="s">
        <v>884</v>
      </c>
      <c r="I63" s="316"/>
      <c r="J63" s="317">
        <f>'Net revenue summary'!J134</f>
        <v>2.5190092889043045</v>
      </c>
      <c r="K63" s="317">
        <f>'Net revenue summary'!K134</f>
        <v>1.6561539222816066</v>
      </c>
      <c r="L63" s="317">
        <f>'Net revenue summary'!L134</f>
        <v>2.1334097146180953</v>
      </c>
      <c r="M63" s="317">
        <f>'Net revenue summary'!M134</f>
        <v>1.179244095675541</v>
      </c>
      <c r="N63" s="317">
        <f>'Net revenue summary'!N134</f>
        <v>2.3565064588148439</v>
      </c>
      <c r="O63" s="317">
        <f>'Net revenue summary'!O134</f>
        <v>2.2240026196044242</v>
      </c>
      <c r="P63" s="317">
        <f>'Net revenue summary'!P134</f>
        <v>1.7873117347279832</v>
      </c>
      <c r="Q63" s="317">
        <f>'Net revenue summary'!Q134</f>
        <v>2.7780825857732343</v>
      </c>
      <c r="R63" s="317">
        <f>'Net revenue summary'!R134</f>
        <v>-0.84018103506173192</v>
      </c>
      <c r="S63" s="317" t="str">
        <f>'Net revenue summary'!S134</f>
        <v/>
      </c>
      <c r="T63" s="317">
        <f>'Net revenue summary'!T134</f>
        <v>-0.69745698259255617</v>
      </c>
      <c r="U63" s="317">
        <f>'Net revenue summary'!V134</f>
        <v>-0.53662614602291037</v>
      </c>
      <c r="V63" s="317">
        <f>'Net revenue summary'!X134</f>
        <v>-0.55142715148915455</v>
      </c>
      <c r="W63" s="269"/>
      <c r="X63" s="269"/>
    </row>
    <row r="64" spans="2:24" x14ac:dyDescent="0.25">
      <c r="C64" s="239"/>
      <c r="D64"/>
      <c r="E64" s="108" t="s">
        <v>896</v>
      </c>
      <c r="F64" s="108"/>
      <c r="G64" s="108" t="s">
        <v>167</v>
      </c>
      <c r="H64" s="108" t="s">
        <v>884</v>
      </c>
      <c r="I64" s="108"/>
      <c r="J64" s="318">
        <f>'Net revenue summary'!J160</f>
        <v>0</v>
      </c>
      <c r="K64" s="318">
        <f>'Net revenue summary'!K160</f>
        <v>0</v>
      </c>
      <c r="L64" s="318">
        <f>'Net revenue summary'!L160</f>
        <v>0</v>
      </c>
      <c r="M64" s="318">
        <f>'Net revenue summary'!M160</f>
        <v>0</v>
      </c>
      <c r="N64" s="318">
        <f>'Net revenue summary'!N160</f>
        <v>0</v>
      </c>
      <c r="O64" s="318">
        <f>'Net revenue summary'!O160</f>
        <v>0</v>
      </c>
      <c r="P64" s="318">
        <f>'Net revenue summary'!P160</f>
        <v>0</v>
      </c>
      <c r="Q64" s="318">
        <f>'Net revenue summary'!Q160</f>
        <v>0</v>
      </c>
      <c r="R64" s="318">
        <f>'Net revenue summary'!R160</f>
        <v>0</v>
      </c>
      <c r="S64" s="318">
        <f>'Net revenue summary'!S160</f>
        <v>0</v>
      </c>
      <c r="T64" s="318">
        <f>'Net revenue summary'!T160</f>
        <v>0</v>
      </c>
      <c r="U64" s="318">
        <f>'Net revenue summary'!V160</f>
        <v>0</v>
      </c>
      <c r="V64" s="318">
        <f>'Net revenue summary'!X160</f>
        <v>0</v>
      </c>
    </row>
    <row r="65" spans="2:24" x14ac:dyDescent="0.25">
      <c r="C65" s="239"/>
      <c r="D65"/>
      <c r="E65" s="23" t="s">
        <v>897</v>
      </c>
      <c r="F65" s="23"/>
      <c r="G65" s="23" t="s">
        <v>269</v>
      </c>
      <c r="H65" s="267" t="s">
        <v>884</v>
      </c>
      <c r="I65" s="267"/>
      <c r="J65" s="292">
        <f>'Net revenue summary'!J162</f>
        <v>2.5190092889043045</v>
      </c>
      <c r="K65" s="292">
        <f>'Net revenue summary'!K162</f>
        <v>1.6561539222816066</v>
      </c>
      <c r="L65" s="292">
        <f>'Net revenue summary'!L162</f>
        <v>2.1334097146180953</v>
      </c>
      <c r="M65" s="292">
        <f>'Net revenue summary'!M162</f>
        <v>1.179244095675541</v>
      </c>
      <c r="N65" s="292">
        <f>'Net revenue summary'!N162</f>
        <v>2.3565064588148439</v>
      </c>
      <c r="O65" s="292">
        <f>'Net revenue summary'!O162</f>
        <v>2.2240026196044242</v>
      </c>
      <c r="P65" s="292">
        <f>'Net revenue summary'!P162</f>
        <v>1.7873117347279834</v>
      </c>
      <c r="Q65" s="292">
        <f>'Net revenue summary'!Q162</f>
        <v>2.7780825857732343</v>
      </c>
      <c r="R65" s="292">
        <f>'Net revenue summary'!R162</f>
        <v>-0.84018103506173192</v>
      </c>
      <c r="S65" s="292">
        <f>'Net revenue summary'!S162</f>
        <v>0</v>
      </c>
      <c r="T65" s="292">
        <f>'Net revenue summary'!T162</f>
        <v>-0.69745698259255617</v>
      </c>
      <c r="U65" s="292">
        <f>'Net revenue summary'!V162</f>
        <v>-0.53662614602291037</v>
      </c>
      <c r="V65" s="292">
        <f>'Net revenue summary'!X162</f>
        <v>-0.55142715148915455</v>
      </c>
      <c r="W65" s="269"/>
      <c r="X65" s="269"/>
    </row>
    <row r="66" spans="2:24" x14ac:dyDescent="0.25">
      <c r="C66" s="239"/>
    </row>
    <row r="67" spans="2:24" x14ac:dyDescent="0.25">
      <c r="C67" s="31" t="str">
        <f ca="1">INDEX('Version control'!$H$34:$H$57,MATCH($A$1,'Version control'!$F$34:$F$57,0),1)&amp;"-E: Outputs for IDNOs' internal use"</f>
        <v>Output 102-E: Outputs for IDNOs' internal use</v>
      </c>
      <c r="D67" s="31"/>
      <c r="E67" s="31"/>
      <c r="F67" s="31"/>
      <c r="G67" s="31"/>
      <c r="H67" s="31"/>
      <c r="I67" s="31"/>
      <c r="J67" s="31"/>
      <c r="K67" s="31"/>
      <c r="L67" s="31"/>
      <c r="M67" s="31"/>
      <c r="N67" s="31"/>
      <c r="O67" s="31"/>
      <c r="P67" s="31"/>
      <c r="Q67" s="31"/>
      <c r="R67" s="31"/>
      <c r="S67" s="31"/>
      <c r="T67" s="31"/>
      <c r="U67" s="31"/>
      <c r="V67" s="31"/>
      <c r="W67" s="31"/>
      <c r="X67" s="31"/>
    </row>
    <row r="69" spans="2:24" x14ac:dyDescent="0.25">
      <c r="D69" s="29" t="s">
        <v>930</v>
      </c>
      <c r="E69"/>
    </row>
    <row r="70" spans="2:24" x14ac:dyDescent="0.25">
      <c r="D70" s="29" t="s">
        <v>931</v>
      </c>
      <c r="E70"/>
    </row>
    <row r="72" spans="2:24" ht="45" x14ac:dyDescent="0.25">
      <c r="E72"/>
      <c r="J72" s="240" t="s">
        <v>940</v>
      </c>
      <c r="K72" s="240" t="s">
        <v>942</v>
      </c>
      <c r="L72" s="240" t="s">
        <v>941</v>
      </c>
      <c r="M72" s="240" t="s">
        <v>943</v>
      </c>
      <c r="N72" s="240" t="s">
        <v>949</v>
      </c>
      <c r="O72" s="240" t="s">
        <v>950</v>
      </c>
      <c r="P72" s="240" t="s">
        <v>951</v>
      </c>
      <c r="Q72" s="240" t="s">
        <v>952</v>
      </c>
      <c r="R72" s="240" t="s">
        <v>944</v>
      </c>
      <c r="S72" s="240" t="s">
        <v>945</v>
      </c>
      <c r="T72" s="240" t="s">
        <v>946</v>
      </c>
      <c r="U72" s="240" t="s">
        <v>947</v>
      </c>
      <c r="V72" s="240" t="s">
        <v>948</v>
      </c>
    </row>
    <row r="73" spans="2:24" x14ac:dyDescent="0.25">
      <c r="C73" s="239"/>
      <c r="D73"/>
      <c r="E73" s="23" t="s">
        <v>905</v>
      </c>
      <c r="F73" s="23"/>
      <c r="G73" s="64" t="s">
        <v>167</v>
      </c>
      <c r="H73" s="23" t="s">
        <v>448</v>
      </c>
      <c r="I73" s="23"/>
      <c r="J73" s="319">
        <f>'Net revenue summary'!J194</f>
        <v>0.30294549940119725</v>
      </c>
      <c r="K73" s="319" t="str">
        <f>'Net revenue summary'!K194</f>
        <v/>
      </c>
      <c r="L73" s="319">
        <f>'Net revenue summary'!L194</f>
        <v>0.30455454749049327</v>
      </c>
      <c r="M73" s="319" t="str">
        <f>'Net revenue summary'!M194</f>
        <v/>
      </c>
      <c r="N73" s="319">
        <f>'Net revenue summary'!N194</f>
        <v>0.30459563399885387</v>
      </c>
      <c r="O73" s="165"/>
      <c r="P73" s="165"/>
      <c r="Q73" s="319">
        <f>'Net revenue summary'!Q194</f>
        <v>0.30482414340086011</v>
      </c>
      <c r="R73" s="319" t="str">
        <f>'Net revenue summary'!R194</f>
        <v/>
      </c>
      <c r="S73" s="165"/>
      <c r="T73" s="319">
        <f>'Net revenue summary'!T194</f>
        <v>0</v>
      </c>
      <c r="U73" s="165"/>
      <c r="V73" s="165"/>
    </row>
    <row r="74" spans="2:24" x14ac:dyDescent="0.25">
      <c r="C74" s="239"/>
      <c r="D74"/>
      <c r="E74" s="37" t="s">
        <v>906</v>
      </c>
      <c r="F74" s="37"/>
      <c r="G74" s="67" t="s">
        <v>167</v>
      </c>
      <c r="H74" s="37" t="s">
        <v>449</v>
      </c>
      <c r="I74" s="37"/>
      <c r="J74" s="320">
        <f>'Net revenue summary'!J195</f>
        <v>0.44468176598584619</v>
      </c>
      <c r="K74" s="320" t="str">
        <f>'Net revenue summary'!K195</f>
        <v/>
      </c>
      <c r="L74" s="320">
        <f>'Net revenue summary'!L195</f>
        <v>0.44708813115856355</v>
      </c>
      <c r="M74" s="320" t="str">
        <f>'Net revenue summary'!M195</f>
        <v/>
      </c>
      <c r="N74" s="320">
        <f>'Net revenue summary'!N195</f>
        <v>0.44784058792763171</v>
      </c>
      <c r="O74" s="320">
        <f>'Net revenue summary'!O195</f>
        <v>0.19275000784379798</v>
      </c>
      <c r="P74" s="320">
        <f>'Net revenue summary'!P195</f>
        <v>8.5321074773615127E-2</v>
      </c>
      <c r="Q74" s="320">
        <f>'Net revenue summary'!Q195</f>
        <v>0.44768848012900414</v>
      </c>
      <c r="R74" s="320" t="str">
        <f>'Net revenue summary'!R195</f>
        <v/>
      </c>
      <c r="S74" s="320" t="str">
        <f>'Net revenue summary'!S195</f>
        <v/>
      </c>
      <c r="T74" s="320">
        <f>'Net revenue summary'!T195</f>
        <v>0</v>
      </c>
      <c r="U74" s="320">
        <f>'Net revenue summary'!V195</f>
        <v>0</v>
      </c>
      <c r="V74" s="320">
        <f>'Net revenue summary'!X195</f>
        <v>-1.0856080472109259E-2</v>
      </c>
    </row>
    <row r="76" spans="2:24" x14ac:dyDescent="0.25">
      <c r="B76" s="30" t="s">
        <v>231</v>
      </c>
      <c r="C76" s="30"/>
      <c r="D76" s="30"/>
      <c r="E76" s="30"/>
      <c r="F76" s="30"/>
      <c r="G76" s="30"/>
      <c r="H76" s="30"/>
      <c r="I76" s="30"/>
      <c r="J76" s="30"/>
      <c r="K76" s="30"/>
      <c r="L76" s="104"/>
      <c r="M76" s="104"/>
      <c r="N76" s="104"/>
      <c r="O76" s="104"/>
      <c r="P76" s="104"/>
      <c r="Q76" s="104"/>
      <c r="R76" s="104"/>
      <c r="S76" s="104"/>
      <c r="T76" s="104"/>
      <c r="U76" s="105"/>
      <c r="V76" s="105"/>
      <c r="W76" s="105"/>
      <c r="X76" s="105"/>
    </row>
    <row r="78" spans="2:24" x14ac:dyDescent="0.25">
      <c r="E78" t="s">
        <v>232</v>
      </c>
      <c r="G78" s="6" t="s">
        <v>55</v>
      </c>
      <c r="H78" s="26">
        <f t="array" ref="H78">SUM(IF(ISERROR(H19:V75), 1))</f>
        <v>0</v>
      </c>
    </row>
    <row r="80" spans="2:24" x14ac:dyDescent="0.25">
      <c r="B80" s="30" t="s">
        <v>106</v>
      </c>
      <c r="C80" s="30"/>
      <c r="D80" s="30"/>
      <c r="E80" s="30"/>
      <c r="F80" s="30"/>
      <c r="G80" s="30"/>
      <c r="H80" s="30"/>
      <c r="I80" s="30"/>
      <c r="J80" s="30"/>
      <c r="K80" s="30"/>
      <c r="L80" s="104"/>
      <c r="M80" s="104"/>
      <c r="N80" s="104"/>
      <c r="O80" s="104"/>
      <c r="P80" s="104"/>
      <c r="Q80" s="104"/>
      <c r="R80" s="104"/>
      <c r="S80" s="104"/>
      <c r="T80" s="104"/>
      <c r="U80" s="105"/>
      <c r="V80" s="105"/>
      <c r="W80" s="105"/>
      <c r="X80" s="105"/>
    </row>
  </sheetData>
  <sheetProtection sheet="1" objects="1" formatCells="0" formatColumns="0" formatRows="0" sort="0" autoFilter="0"/>
  <conditionalFormatting sqref="H78">
    <cfRule type="cellIs" dxfId="1" priority="35" operator="greaterThan">
      <formula>0</formula>
    </cfRule>
  </conditionalFormatting>
  <conditionalFormatting sqref="A4:XFD4">
    <cfRule type="expression" dxfId="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28515625" style="3" hidden="1"/>
  </cols>
  <sheetData>
    <row r="1" spans="1:9" s="1" customFormat="1" x14ac:dyDescent="0.25">
      <c r="A1" s="1" t="str">
        <f ca="1">MID(CELL("filename",A1),FIND("]",CELL("filename",A1))+1,255)</f>
        <v>Model map</v>
      </c>
    </row>
    <row r="2" spans="1:9" s="1" customFormat="1" x14ac:dyDescent="0.25">
      <c r="A2" s="1" t="str">
        <f>Cover!D21&amp;" - "&amp;Cover!D23</f>
        <v>WPD East Midlands - April 21 Prices</v>
      </c>
    </row>
    <row r="3" spans="1:9" s="5" customFormat="1" x14ac:dyDescent="0.25">
      <c r="A3" s="5" t="str">
        <f>Cover!D2&amp;" - "&amp;Cover!D8&amp;" v"&amp;Cover!D10&amp;" - "&amp;Cover!D19</f>
        <v>CDCM charging model - Release for charge setting v5 - 2021/22</v>
      </c>
    </row>
    <row r="5" spans="1:9" customFormat="1" x14ac:dyDescent="0.25">
      <c r="A5" s="9"/>
      <c r="B5" s="41" t="s">
        <v>107</v>
      </c>
      <c r="C5" s="41"/>
      <c r="D5" s="41"/>
      <c r="E5" s="41"/>
      <c r="F5" s="41"/>
      <c r="G5" s="41"/>
      <c r="H5" s="41"/>
      <c r="I5" s="41"/>
    </row>
    <row r="7" spans="1:9" ht="15" customHeight="1" x14ac:dyDescent="0.25">
      <c r="F7" s="55"/>
      <c r="G7" s="55"/>
      <c r="H7" s="56"/>
      <c r="I7" s="56"/>
    </row>
    <row r="8" spans="1:9" ht="15" customHeight="1" x14ac:dyDescent="0.25">
      <c r="F8" s="55"/>
      <c r="G8" s="55"/>
    </row>
    <row r="9" spans="1:9" ht="15" customHeight="1" x14ac:dyDescent="0.25">
      <c r="F9" s="55"/>
      <c r="G9" s="55"/>
      <c r="H9" s="55"/>
      <c r="I9" s="55"/>
    </row>
    <row r="10" spans="1:9" ht="15" customHeight="1" x14ac:dyDescent="0.25">
      <c r="F10" s="55"/>
      <c r="G10" s="55"/>
      <c r="H10" s="55"/>
      <c r="I10" s="55"/>
    </row>
    <row r="11" spans="1:9" ht="15" customHeight="1" x14ac:dyDescent="0.25">
      <c r="F11" s="55"/>
      <c r="G11" s="55"/>
      <c r="H11" s="55"/>
      <c r="I11" s="3"/>
    </row>
    <row r="12" spans="1:9" ht="15" customHeight="1" x14ac:dyDescent="0.25">
      <c r="F12" s="55"/>
      <c r="H12" s="55"/>
      <c r="I12" s="3"/>
    </row>
    <row r="13" spans="1:9" ht="15" customHeight="1" x14ac:dyDescent="0.25">
      <c r="F13" s="55"/>
      <c r="H13" s="55"/>
      <c r="I13" s="3"/>
    </row>
    <row r="14" spans="1:9" ht="15" customHeight="1" x14ac:dyDescent="0.25">
      <c r="F14" s="55"/>
      <c r="H14" s="55"/>
      <c r="I14" s="3"/>
    </row>
    <row r="15" spans="1:9" x14ac:dyDescent="0.25">
      <c r="F15" s="57"/>
      <c r="G15" s="57"/>
      <c r="H15" s="57"/>
      <c r="I15" s="57"/>
    </row>
    <row r="16" spans="1:9" ht="15" customHeight="1" x14ac:dyDescent="0.25">
      <c r="H16" s="57"/>
      <c r="I16" s="57"/>
    </row>
    <row r="17" spans="6:9" ht="15" customHeight="1" x14ac:dyDescent="0.25">
      <c r="H17" s="57"/>
      <c r="I17" s="57"/>
    </row>
    <row r="18" spans="6:9" ht="15" customHeight="1" x14ac:dyDescent="0.25">
      <c r="H18" s="57"/>
      <c r="I18" s="57"/>
    </row>
    <row r="19" spans="6:9" ht="15" customHeight="1" x14ac:dyDescent="0.25">
      <c r="F19" s="57"/>
      <c r="G19" s="57"/>
      <c r="H19" s="57"/>
      <c r="I19" s="57"/>
    </row>
    <row r="20" spans="6:9" ht="15" customHeight="1" x14ac:dyDescent="0.25">
      <c r="F20" s="57"/>
      <c r="G20" s="57"/>
      <c r="H20" s="57"/>
      <c r="I20" s="57"/>
    </row>
    <row r="21" spans="6:9" ht="15" customHeight="1" x14ac:dyDescent="0.25">
      <c r="F21" s="57"/>
      <c r="G21" s="57"/>
      <c r="H21" s="57"/>
      <c r="I21" s="57"/>
    </row>
    <row r="22" spans="6:9" ht="15" customHeight="1" x14ac:dyDescent="0.25">
      <c r="F22" s="57"/>
      <c r="G22" s="57"/>
      <c r="H22" s="57"/>
      <c r="I22" s="57"/>
    </row>
    <row r="23" spans="6:9" ht="15" customHeight="1" x14ac:dyDescent="0.25">
      <c r="F23" s="57"/>
      <c r="G23" s="57"/>
      <c r="H23" s="57"/>
      <c r="I23" s="57"/>
    </row>
    <row r="24" spans="6:9" ht="15" customHeight="1" x14ac:dyDescent="0.25">
      <c r="F24" s="57"/>
      <c r="G24" s="57"/>
      <c r="H24" s="57"/>
      <c r="I24" s="57"/>
    </row>
    <row r="25" spans="6:9" ht="15" customHeight="1" x14ac:dyDescent="0.25">
      <c r="F25" s="57"/>
      <c r="G25" s="57"/>
      <c r="H25" s="57"/>
      <c r="I25" s="57"/>
    </row>
    <row r="26" spans="6:9" ht="15" customHeight="1" x14ac:dyDescent="0.25">
      <c r="F26" s="57"/>
      <c r="G26" s="57"/>
      <c r="H26" s="57"/>
      <c r="I26" s="57"/>
    </row>
    <row r="27" spans="6:9" ht="15" customHeight="1" x14ac:dyDescent="0.25">
      <c r="F27" s="57"/>
      <c r="G27" s="57"/>
      <c r="H27" s="57"/>
      <c r="I27" s="57"/>
    </row>
    <row r="28" spans="6:9" ht="15" customHeight="1" x14ac:dyDescent="0.25">
      <c r="F28" s="57"/>
      <c r="G28" s="57"/>
      <c r="H28" s="57"/>
      <c r="I28" s="57"/>
    </row>
    <row r="29" spans="6:9" ht="15" customHeight="1" x14ac:dyDescent="0.25">
      <c r="F29" s="57"/>
      <c r="G29" s="57"/>
      <c r="H29" s="57"/>
      <c r="I29" s="57"/>
    </row>
    <row r="30" spans="6:9" ht="15" customHeight="1" x14ac:dyDescent="0.25">
      <c r="F30" s="57"/>
      <c r="G30" s="57"/>
      <c r="H30" s="57"/>
      <c r="I30" s="57"/>
    </row>
    <row r="31" spans="6:9" ht="15" customHeight="1" x14ac:dyDescent="0.25">
      <c r="F31" s="57"/>
      <c r="G31" s="57"/>
      <c r="H31" s="57"/>
      <c r="I31" s="57"/>
    </row>
    <row r="32" spans="6:9" ht="15" customHeight="1" x14ac:dyDescent="0.25">
      <c r="F32" s="57"/>
      <c r="G32" s="57"/>
      <c r="H32" s="57"/>
      <c r="I32" s="57"/>
    </row>
    <row r="33" spans="6:9" ht="15" customHeight="1" x14ac:dyDescent="0.25">
      <c r="F33" s="57"/>
      <c r="G33" s="57"/>
      <c r="H33" s="57"/>
      <c r="I33" s="57"/>
    </row>
    <row r="34" spans="6:9" customFormat="1" x14ac:dyDescent="0.25">
      <c r="F34" s="57"/>
      <c r="G34" s="57"/>
      <c r="H34" s="57"/>
      <c r="I34" s="57"/>
    </row>
    <row r="35" spans="6:9" customFormat="1" x14ac:dyDescent="0.25">
      <c r="F35" s="57"/>
      <c r="G35" s="57"/>
      <c r="H35" s="57"/>
      <c r="I35" s="57"/>
    </row>
    <row r="36" spans="6:9" customFormat="1" x14ac:dyDescent="0.25">
      <c r="F36" s="57"/>
      <c r="G36" s="57"/>
      <c r="H36" s="57"/>
      <c r="I36" s="57"/>
    </row>
    <row r="37" spans="6:9" customFormat="1" x14ac:dyDescent="0.25">
      <c r="F37" s="57"/>
      <c r="G37" s="57"/>
      <c r="H37" s="57"/>
      <c r="I37" s="57"/>
    </row>
    <row r="38" spans="6:9" customFormat="1" x14ac:dyDescent="0.25">
      <c r="F38" s="57"/>
      <c r="G38" s="57"/>
      <c r="H38" s="57"/>
      <c r="I38" s="57"/>
    </row>
    <row r="39" spans="6:9" customFormat="1" x14ac:dyDescent="0.25">
      <c r="F39" s="57"/>
      <c r="G39" s="57"/>
      <c r="H39" s="57"/>
      <c r="I39" s="57"/>
    </row>
    <row r="40" spans="6:9" customFormat="1" x14ac:dyDescent="0.25">
      <c r="F40" s="57"/>
      <c r="G40" s="57"/>
      <c r="H40" s="57"/>
      <c r="I40" s="57"/>
    </row>
    <row r="41" spans="6:9" ht="15" customHeight="1" x14ac:dyDescent="0.25">
      <c r="F41" s="57"/>
      <c r="G41" s="57"/>
      <c r="H41" s="57"/>
      <c r="I41" s="57"/>
    </row>
    <row r="42" spans="6:9" ht="15" customHeight="1" x14ac:dyDescent="0.25">
      <c r="F42" s="57"/>
      <c r="G42" s="57"/>
      <c r="H42" s="57"/>
      <c r="I42" s="57"/>
    </row>
    <row r="43" spans="6:9" ht="15" customHeight="1" x14ac:dyDescent="0.25">
      <c r="F43" s="57"/>
      <c r="G43" s="57"/>
      <c r="H43" s="57"/>
      <c r="I43" s="57"/>
    </row>
    <row r="44" spans="6:9" ht="15" customHeight="1" x14ac:dyDescent="0.25">
      <c r="F44" s="57"/>
      <c r="G44" s="57"/>
      <c r="H44" s="57"/>
      <c r="I44" s="57"/>
    </row>
    <row r="45" spans="6:9" ht="15" customHeight="1" x14ac:dyDescent="0.25">
      <c r="F45" s="57"/>
      <c r="G45" s="57"/>
      <c r="H45" s="57"/>
      <c r="I45" s="57"/>
    </row>
    <row r="46" spans="6:9" ht="15" customHeight="1" x14ac:dyDescent="0.25">
      <c r="F46" s="57"/>
      <c r="G46" s="57"/>
      <c r="H46" s="57"/>
      <c r="I46" s="57"/>
    </row>
    <row r="47" spans="6:9" ht="15" customHeight="1" x14ac:dyDescent="0.25">
      <c r="F47" s="39"/>
      <c r="H47" s="3"/>
      <c r="I47" s="3"/>
    </row>
    <row r="51" spans="1:10" customFormat="1" x14ac:dyDescent="0.25">
      <c r="A51" s="9"/>
      <c r="B51" s="9"/>
      <c r="C51" s="9"/>
      <c r="D51" s="9"/>
      <c r="E51" s="9"/>
      <c r="F51" s="9"/>
      <c r="G51" s="9"/>
      <c r="H51" s="9"/>
      <c r="I51" s="9"/>
      <c r="J51" s="9"/>
    </row>
    <row r="62" spans="1:10" ht="15" customHeight="1" x14ac:dyDescent="0.25">
      <c r="A62" s="41" t="s">
        <v>106</v>
      </c>
      <c r="B62" s="41"/>
      <c r="C62" s="41"/>
      <c r="D62" s="41"/>
      <c r="E62" s="41"/>
      <c r="F62" s="41"/>
      <c r="G62" s="41"/>
      <c r="H62" s="41"/>
      <c r="I62" s="4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15"/>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71093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28515625" hidden="1"/>
  </cols>
  <sheetData>
    <row r="1" spans="1:7" s="1" customFormat="1" x14ac:dyDescent="0.25">
      <c r="A1" s="1" t="str">
        <f ca="1">MID(CELL("filename",A1),FIND("]",CELL("filename",A1))+1,255)</f>
        <v>Index</v>
      </c>
    </row>
    <row r="2" spans="1:7" s="1" customFormat="1" x14ac:dyDescent="0.25">
      <c r="A2" s="1" t="str">
        <f>Cover!D21&amp;" - "&amp;Cover!D23</f>
        <v>WPD East Midlands - April 21 Prices</v>
      </c>
    </row>
    <row r="3" spans="1:7" s="5" customFormat="1" x14ac:dyDescent="0.25">
      <c r="A3" s="5" t="str">
        <f>Cover!D2&amp;" - "&amp;Cover!D8&amp;" v"&amp;Cover!D10&amp;" - "&amp;Cover!D19</f>
        <v>CDCM charging model - Release for charge setting v5 - 2021/22</v>
      </c>
    </row>
    <row r="5" spans="1:7" x14ac:dyDescent="0.25">
      <c r="B5" s="30" t="s">
        <v>10</v>
      </c>
      <c r="C5" s="30"/>
      <c r="D5" s="30"/>
      <c r="E5" s="30"/>
      <c r="F5" s="30"/>
      <c r="G5" s="30"/>
    </row>
    <row r="7" spans="1:7" x14ac:dyDescent="0.25">
      <c r="C7" s="29" t="s">
        <v>108</v>
      </c>
    </row>
    <row r="8" spans="1:7" x14ac:dyDescent="0.25">
      <c r="C8" s="29" t="s">
        <v>109</v>
      </c>
    </row>
    <row r="10" spans="1:7" x14ac:dyDescent="0.25">
      <c r="B10" s="30" t="s">
        <v>110</v>
      </c>
      <c r="C10" s="30"/>
      <c r="D10" s="30"/>
      <c r="E10" s="30"/>
      <c r="F10" s="30"/>
      <c r="G10" s="30"/>
    </row>
    <row r="12" spans="1:7" x14ac:dyDescent="0.25">
      <c r="C12" s="29" t="s">
        <v>111</v>
      </c>
    </row>
    <row r="14" spans="1:7" ht="15.75" thickBot="1" x14ac:dyDescent="0.3">
      <c r="F14" s="331" t="s">
        <v>112</v>
      </c>
      <c r="G14" s="295" t="s">
        <v>113</v>
      </c>
    </row>
    <row r="15" spans="1:7" ht="16.5" thickTop="1" thickBot="1" x14ac:dyDescent="0.3">
      <c r="F15" s="297" t="s">
        <v>114</v>
      </c>
    </row>
    <row r="16" spans="1:7" ht="15.75" thickTop="1" x14ac:dyDescent="0.25">
      <c r="F16" s="297" t="s">
        <v>115</v>
      </c>
      <c r="G16" s="58" t="str">
        <f>'Version control'!$B$5</f>
        <v>Model version</v>
      </c>
    </row>
    <row r="17" spans="6:7" x14ac:dyDescent="0.25">
      <c r="F17" s="296" t="s">
        <v>116</v>
      </c>
      <c r="G17" s="58" t="str">
        <f>'Version control'!$B$17</f>
        <v>Version log</v>
      </c>
    </row>
    <row r="18" spans="6:7" x14ac:dyDescent="0.25">
      <c r="F18" s="296" t="s">
        <v>116</v>
      </c>
      <c r="G18" s="58" t="str">
        <f>'Version control'!$B$31</f>
        <v>Model checks</v>
      </c>
    </row>
    <row r="19" spans="6:7" ht="15.75" thickBot="1" x14ac:dyDescent="0.3">
      <c r="F19" s="296" t="s">
        <v>116</v>
      </c>
      <c r="G19" s="58" t="str">
        <f>'Version control'!$B$60</f>
        <v>Version log lists</v>
      </c>
    </row>
    <row r="20" spans="6:7" ht="16.5" thickTop="1" thickBot="1" x14ac:dyDescent="0.3">
      <c r="F20" s="297" t="s">
        <v>107</v>
      </c>
      <c r="G20" s="58" t="str">
        <f>'Model map'!$B$5</f>
        <v>Model map</v>
      </c>
    </row>
    <row r="21" spans="6:7" ht="16.5" thickTop="1" thickBot="1" x14ac:dyDescent="0.3">
      <c r="F21" s="297" t="s">
        <v>117</v>
      </c>
      <c r="G21" s="58" t="str">
        <f>'Named ranges'!$B$5</f>
        <v>List of named ranges</v>
      </c>
    </row>
    <row r="22" spans="6:7" ht="16.5" thickTop="1" thickBot="1" x14ac:dyDescent="0.3">
      <c r="F22" s="299" t="s">
        <v>53</v>
      </c>
      <c r="G22" s="58" t="str">
        <f>'Fixed inputs'!$B$11</f>
        <v>Fixed inputs</v>
      </c>
    </row>
    <row r="23" spans="6:7" ht="16.5" thickTop="1" thickBot="1" x14ac:dyDescent="0.3">
      <c r="F23" s="299" t="s">
        <v>56</v>
      </c>
      <c r="G23" s="58" t="str">
        <f>'Inputs by customer type'!$B$11</f>
        <v>Inputs by customer type</v>
      </c>
    </row>
    <row r="24" spans="6:7" ht="16.5" thickTop="1" thickBot="1" x14ac:dyDescent="0.3">
      <c r="F24" s="299" t="s">
        <v>58</v>
      </c>
      <c r="G24" s="58" t="str">
        <f>'Inputs by network level'!$B$11</f>
        <v>Inputs by network level</v>
      </c>
    </row>
    <row r="25" spans="6:7" ht="16.5" thickTop="1" thickBot="1" x14ac:dyDescent="0.3">
      <c r="F25" s="299" t="s">
        <v>60</v>
      </c>
      <c r="G25" s="58" t="str">
        <f>'General inputs'!$B$11</f>
        <v>General inputs</v>
      </c>
    </row>
    <row r="26" spans="6:7" ht="16.5" thickTop="1" thickBot="1" x14ac:dyDescent="0.3">
      <c r="F26" s="301" t="s">
        <v>120</v>
      </c>
      <c r="G26" s="58" t="str">
        <f>'Standing charge factors'!$B$17</f>
        <v>Adjustments to standing charges</v>
      </c>
    </row>
    <row r="27" spans="6:7" ht="15.75" thickTop="1" x14ac:dyDescent="0.25">
      <c r="F27" s="301" t="s">
        <v>64</v>
      </c>
      <c r="G27" s="58" t="str">
        <f>'Load &amp; loss characteristics'!$B$13</f>
        <v>Load and loss characteristics</v>
      </c>
    </row>
    <row r="28" spans="6:7" ht="15.75" thickBot="1" x14ac:dyDescent="0.3">
      <c r="F28" s="300" t="s">
        <v>116</v>
      </c>
      <c r="G28" s="58" t="str">
        <f>'Load &amp; loss characteristics'!$B$31</f>
        <v>User loss factor adjustments</v>
      </c>
    </row>
    <row r="29" spans="6:7" ht="16.5" thickTop="1" thickBot="1" x14ac:dyDescent="0.3">
      <c r="F29" s="301" t="s">
        <v>66</v>
      </c>
      <c r="G29" s="58" t="str">
        <f>'Customer contributions'!$B$12</f>
        <v>Customer contributions</v>
      </c>
    </row>
    <row r="30" spans="6:7" ht="15.75" thickTop="1" x14ac:dyDescent="0.25">
      <c r="F30" s="301" t="s">
        <v>68</v>
      </c>
      <c r="G30" s="58" t="str">
        <f>'Volume adjustments'!$B$13</f>
        <v>LDNO discounts</v>
      </c>
    </row>
    <row r="31" spans="6:7" ht="15.75" thickBot="1" x14ac:dyDescent="0.3">
      <c r="F31" s="300" t="s">
        <v>116</v>
      </c>
      <c r="G31" s="58" t="str">
        <f>'Volume adjustments'!$B$51</f>
        <v>Volume discounting</v>
      </c>
    </row>
    <row r="32" spans="6:7" ht="15.75" thickTop="1" x14ac:dyDescent="0.25">
      <c r="F32" s="301" t="s">
        <v>70</v>
      </c>
      <c r="G32" s="58" t="str">
        <f>'Pseudo-load coefficients'!$B$13</f>
        <v>Step 1: Ratio of coincidence to load factor assuming units evenly spread within time bands, and peak falls in Red period</v>
      </c>
    </row>
    <row r="33" spans="6:7" x14ac:dyDescent="0.25">
      <c r="F33" s="300" t="s">
        <v>116</v>
      </c>
      <c r="G33" s="58" t="str">
        <f>'Pseudo-load coefficients'!$B$56</f>
        <v>Step 2: Calculate correction factor</v>
      </c>
    </row>
    <row r="34" spans="6:7" x14ac:dyDescent="0.25">
      <c r="F34" s="300" t="s">
        <v>116</v>
      </c>
      <c r="G34" s="58" t="str">
        <f>'Pseudo-load coefficients'!$B$95</f>
        <v>Step 3: Ratio of coincidence factor (to network asset peak) to load factor, given peaking probabilities, multiplied by correction factor</v>
      </c>
    </row>
    <row r="35" spans="6:7" ht="15.75" thickBot="1" x14ac:dyDescent="0.3">
      <c r="F35" s="300" t="s">
        <v>116</v>
      </c>
      <c r="G35" s="58" t="str">
        <f>'Pseudo-load coefficients'!$B$261</f>
        <v>Step 4: Results of Step 3</v>
      </c>
    </row>
    <row r="36" spans="6:7" ht="15.75" thickTop="1" x14ac:dyDescent="0.25">
      <c r="F36" s="301" t="s">
        <v>72</v>
      </c>
      <c r="G36" s="58" t="str">
        <f>'System peak demand'!$B$16</f>
        <v>Common inputs for chargeable load calculations</v>
      </c>
    </row>
    <row r="37" spans="6:7" x14ac:dyDescent="0.25">
      <c r="F37" s="300" t="s">
        <v>116</v>
      </c>
      <c r="G37" s="58" t="str">
        <f>'System peak demand'!$B$63</f>
        <v>Load at system peak charged to unit rates</v>
      </c>
    </row>
    <row r="38" spans="6:7" x14ac:dyDescent="0.25">
      <c r="F38" s="300" t="s">
        <v>116</v>
      </c>
      <c r="G38" s="58" t="str">
        <f>'System peak demand'!$B$179</f>
        <v>Load at system peak charged to standing charges</v>
      </c>
    </row>
    <row r="39" spans="6:7" ht="15.75" thickBot="1" x14ac:dyDescent="0.3">
      <c r="F39" s="300" t="s">
        <v>116</v>
      </c>
      <c r="G39" s="58" t="str">
        <f>'System peak demand'!$B$262</f>
        <v>System peak based on chargeable load</v>
      </c>
    </row>
    <row r="40" spans="6:7" ht="16.5" thickTop="1" thickBot="1" x14ac:dyDescent="0.3">
      <c r="F40" s="301" t="s">
        <v>74</v>
      </c>
      <c r="G40" s="58" t="str">
        <f>'Service model assets'!$B$12</f>
        <v>Service model notional asset values</v>
      </c>
    </row>
    <row r="41" spans="6:7" ht="15.75" thickTop="1" x14ac:dyDescent="0.25">
      <c r="F41" s="301" t="s">
        <v>76</v>
      </c>
      <c r="G41" s="58" t="str">
        <f>'Unit costs'!$B$15</f>
        <v>500MW model costs</v>
      </c>
    </row>
    <row r="42" spans="6:7" x14ac:dyDescent="0.25">
      <c r="F42" s="300" t="s">
        <v>116</v>
      </c>
      <c r="G42" s="58" t="str">
        <f>'Unit costs'!$B$58</f>
        <v>Allocation of other costs</v>
      </c>
    </row>
    <row r="43" spans="6:7" ht="15.75" thickBot="1" x14ac:dyDescent="0.3">
      <c r="F43" s="300" t="s">
        <v>116</v>
      </c>
      <c r="G43" s="58" t="str">
        <f>'Unit costs'!$B$102</f>
        <v>Outputs</v>
      </c>
    </row>
    <row r="44" spans="6:7" ht="15.75" thickTop="1" x14ac:dyDescent="0.25">
      <c r="F44" s="301" t="s">
        <v>78</v>
      </c>
      <c r="G44" s="58" t="str">
        <f>'Initial unit rates'!$B$11</f>
        <v>Inputs for yardstick and unit rate calculations</v>
      </c>
    </row>
    <row r="45" spans="6:7" ht="15.75" thickBot="1" x14ac:dyDescent="0.3">
      <c r="F45" s="300" t="s">
        <v>116</v>
      </c>
      <c r="G45" s="58" t="str">
        <f>'Initial unit rates'!$B$116</f>
        <v>Calculation of yardstick &amp; unit rate charges</v>
      </c>
    </row>
    <row r="46" spans="6:7" ht="15.75" thickTop="1" x14ac:dyDescent="0.25">
      <c r="F46" s="301" t="s">
        <v>80</v>
      </c>
      <c r="G46" s="58" t="str">
        <f>'Service model charges'!$B$13</f>
        <v>Inputs to service model charge calculation</v>
      </c>
    </row>
    <row r="47" spans="6:7" ht="15.75" thickBot="1" x14ac:dyDescent="0.3">
      <c r="F47" s="300" t="s">
        <v>116</v>
      </c>
      <c r="G47" s="58" t="str">
        <f>'Service model charges'!$B$29</f>
        <v>Allocation of service model costs</v>
      </c>
    </row>
    <row r="48" spans="6:7" ht="15.75" thickTop="1" x14ac:dyDescent="0.25">
      <c r="F48" s="301" t="s">
        <v>82</v>
      </c>
      <c r="G48" s="58" t="str">
        <f>'Unit rate charges'!$B$15</f>
        <v>Inputs to unit rate charge calculations</v>
      </c>
    </row>
    <row r="49" spans="6:7" ht="15.75" thickBot="1" x14ac:dyDescent="0.3">
      <c r="F49" s="300" t="s">
        <v>116</v>
      </c>
      <c r="G49" s="58" t="str">
        <f>'Unit rate charges'!$B$122</f>
        <v>Application of standing charges to unit rates</v>
      </c>
    </row>
    <row r="50" spans="6:7" ht="15.75" thickTop="1" x14ac:dyDescent="0.25">
      <c r="F50" s="301" t="s">
        <v>84</v>
      </c>
      <c r="G50" s="58" t="str">
        <f>'Reactive power charges'!$B$13</f>
        <v>Inputs to reactive power charge calculations</v>
      </c>
    </row>
    <row r="51" spans="6:7" x14ac:dyDescent="0.25">
      <c r="F51" s="300" t="s">
        <v>116</v>
      </c>
      <c r="G51" s="58" t="str">
        <f>'Reactive power charges'!$B$150</f>
        <v>Calculation of yardstick charges for generation</v>
      </c>
    </row>
    <row r="52" spans="6:7" ht="15.75" thickBot="1" x14ac:dyDescent="0.3">
      <c r="F52" s="300" t="s">
        <v>116</v>
      </c>
      <c r="G52" s="58" t="str">
        <f>'Reactive power charges'!$B$185</f>
        <v>Calculation of reactive power charges</v>
      </c>
    </row>
    <row r="53" spans="6:7" ht="15.75" thickTop="1" x14ac:dyDescent="0.25">
      <c r="F53" s="301" t="s">
        <v>86</v>
      </c>
      <c r="G53" s="58" t="str">
        <f>'Capacity charges'!$B$17</f>
        <v>Inputs to capacity charge calculations</v>
      </c>
    </row>
    <row r="54" spans="6:7" x14ac:dyDescent="0.25">
      <c r="F54" s="300" t="s">
        <v>116</v>
      </c>
      <c r="G54" s="58" t="str">
        <f>'Capacity charges'!$B$125</f>
        <v>Calculation of capacity charges</v>
      </c>
    </row>
    <row r="55" spans="6:7" ht="15.75" thickBot="1" x14ac:dyDescent="0.3">
      <c r="F55" s="300" t="s">
        <v>116</v>
      </c>
      <c r="G55" s="58" t="str">
        <f>'Capacity charges'!$B$249</f>
        <v>Capacity charges (and elements allocated to fixed charges)</v>
      </c>
    </row>
    <row r="56" spans="6:7" ht="15.75" thickTop="1" x14ac:dyDescent="0.25">
      <c r="F56" s="301" t="s">
        <v>88</v>
      </c>
      <c r="G56" s="58" t="str">
        <f>'Fixed charges'!$B$14</f>
        <v>Inputs to fixed charge calculations</v>
      </c>
    </row>
    <row r="57" spans="6:7" ht="15.75" thickBot="1" x14ac:dyDescent="0.3">
      <c r="F57" s="300" t="s">
        <v>116</v>
      </c>
      <c r="G57" s="58" t="str">
        <f>'Fixed charges'!$B$65</f>
        <v>Calculation of fixed charges</v>
      </c>
    </row>
    <row r="58" spans="6:7" ht="15.75" thickTop="1" x14ac:dyDescent="0.25">
      <c r="F58" s="301" t="s">
        <v>90</v>
      </c>
      <c r="G58" s="58" t="str">
        <f>'Revenue matching'!$B$13</f>
        <v>Pre-matching net revenue calculations</v>
      </c>
    </row>
    <row r="59" spans="6:7" ht="15.75" thickBot="1" x14ac:dyDescent="0.3">
      <c r="F59" s="300" t="s">
        <v>116</v>
      </c>
      <c r="G59" s="58" t="str">
        <f>'Revenue matching'!$B$62</f>
        <v>Adder calculation</v>
      </c>
    </row>
    <row r="60" spans="6:7" ht="16.5" thickTop="1" thickBot="1" x14ac:dyDescent="0.3">
      <c r="F60" s="301" t="s">
        <v>1046</v>
      </c>
      <c r="G60" s="58" t="str">
        <f>'Fixed charge adder'!$B$12</f>
        <v>Fixed tariff adjustments</v>
      </c>
    </row>
    <row r="61" spans="6:7" ht="15.75" thickTop="1" x14ac:dyDescent="0.25">
      <c r="F61" s="301" t="s">
        <v>92</v>
      </c>
      <c r="G61" s="58" t="str">
        <f>Rounding!$B$12</f>
        <v>Inputs</v>
      </c>
    </row>
    <row r="62" spans="6:7" ht="15.75" thickBot="1" x14ac:dyDescent="0.3">
      <c r="F62" s="300" t="s">
        <v>116</v>
      </c>
      <c r="G62" s="58" t="str">
        <f>Rounding!$B$83</f>
        <v>Rounding of tariff forecast</v>
      </c>
    </row>
    <row r="63" spans="6:7" ht="15.75" thickTop="1" x14ac:dyDescent="0.25">
      <c r="F63" s="301" t="s">
        <v>94</v>
      </c>
      <c r="G63" s="58" t="str">
        <f>'Net revenue summary'!$B$11</f>
        <v>Inputs to net revenue summary calculation</v>
      </c>
    </row>
    <row r="64" spans="6:7" x14ac:dyDescent="0.25">
      <c r="F64" s="300" t="s">
        <v>116</v>
      </c>
      <c r="G64" s="58" t="str">
        <f>'Net revenue summary'!$B$79</f>
        <v>Typical bills</v>
      </c>
    </row>
    <row r="65" spans="2:7" x14ac:dyDescent="0.25">
      <c r="F65" s="300" t="s">
        <v>116</v>
      </c>
      <c r="G65" s="58" t="str">
        <f>'Net revenue summary'!$B$138</f>
        <v>Comparison with previous year</v>
      </c>
    </row>
    <row r="66" spans="2:7" ht="15.75" thickBot="1" x14ac:dyDescent="0.3">
      <c r="F66" s="300" t="s">
        <v>116</v>
      </c>
      <c r="G66" s="58" t="str">
        <f>'Net revenue summary'!$B$164</f>
        <v>LDNO margins</v>
      </c>
    </row>
    <row r="67" spans="2:7" ht="16.5" thickTop="1" thickBot="1" x14ac:dyDescent="0.3">
      <c r="F67" s="303" t="s">
        <v>96</v>
      </c>
      <c r="G67" s="58" t="str">
        <f>'Tariff summary'!$B$11</f>
        <v>Tariff summary</v>
      </c>
    </row>
    <row r="68" spans="2:7" ht="15.75" thickTop="1" x14ac:dyDescent="0.25">
      <c r="F68" s="303" t="s">
        <v>98</v>
      </c>
      <c r="G68" s="58" t="str">
        <f>'Output to other models'!$B$12</f>
        <v>Outputs for PCDM</v>
      </c>
    </row>
    <row r="69" spans="2:7" x14ac:dyDescent="0.25">
      <c r="F69" s="302" t="s">
        <v>116</v>
      </c>
      <c r="G69" s="58" t="str">
        <f>'Output to other models'!$B$25</f>
        <v>Outputs for EDCM</v>
      </c>
    </row>
    <row r="70" spans="2:7" x14ac:dyDescent="0.25">
      <c r="F70" s="302" t="s">
        <v>116</v>
      </c>
      <c r="G70" s="58" t="str">
        <f>'Output to other models'!$B$55</f>
        <v>Outputs for users' internal use</v>
      </c>
    </row>
    <row r="72" spans="2:7" x14ac:dyDescent="0.25">
      <c r="B72" s="30" t="s">
        <v>118</v>
      </c>
      <c r="C72" s="30"/>
      <c r="D72" s="30"/>
      <c r="E72" s="30"/>
      <c r="F72" s="30"/>
      <c r="G72" s="30"/>
    </row>
    <row r="74" spans="2:7" x14ac:dyDescent="0.25">
      <c r="C74" s="29" t="s">
        <v>119</v>
      </c>
    </row>
    <row r="76" spans="2:7" ht="15.75" thickBot="1" x14ac:dyDescent="0.3">
      <c r="F76" s="331" t="s">
        <v>112</v>
      </c>
      <c r="G76" s="295" t="s">
        <v>113</v>
      </c>
    </row>
    <row r="77" spans="2:7" ht="15.75" thickTop="1" x14ac:dyDescent="0.25">
      <c r="F77" s="299" t="s">
        <v>53</v>
      </c>
      <c r="G77" s="58" t="str">
        <f ca="1">'Fixed inputs'!$C$13</f>
        <v>Input 101-A: Conversions and time</v>
      </c>
    </row>
    <row r="78" spans="2:7" x14ac:dyDescent="0.25">
      <c r="F78" s="298" t="s">
        <v>116</v>
      </c>
      <c r="G78" s="58" t="str">
        <f ca="1">'Fixed inputs'!$C$20</f>
        <v>Input 101-B: Input 101-B: Rounding</v>
      </c>
    </row>
    <row r="79" spans="2:7" x14ac:dyDescent="0.25">
      <c r="F79" s="298" t="s">
        <v>116</v>
      </c>
      <c r="G79" s="58" t="str">
        <f ca="1">'Fixed inputs'!$C$33</f>
        <v>Input 101-C: Financial and general assumptions</v>
      </c>
    </row>
    <row r="80" spans="2:7" x14ac:dyDescent="0.25">
      <c r="F80" s="298" t="s">
        <v>116</v>
      </c>
      <c r="G80" s="58" t="str">
        <f ca="1">'Fixed inputs'!$C$43</f>
        <v>Input 101-D: Mappings</v>
      </c>
    </row>
    <row r="81" spans="6:7" x14ac:dyDescent="0.25">
      <c r="F81" s="298" t="s">
        <v>116</v>
      </c>
      <c r="G81" s="58" t="str">
        <f ca="1">'Fixed inputs'!$C$84</f>
        <v>Input 101-E: Standing charge factors</v>
      </c>
    </row>
    <row r="82" spans="6:7" x14ac:dyDescent="0.25">
      <c r="F82" s="298" t="s">
        <v>116</v>
      </c>
      <c r="G82" s="58" t="str">
        <f ca="1">'Fixed inputs'!$C$99</f>
        <v>Input 101-F: Flags</v>
      </c>
    </row>
    <row r="83" spans="6:7" x14ac:dyDescent="0.25">
      <c r="F83" s="298" t="s">
        <v>116</v>
      </c>
      <c r="G83" s="58" t="str">
        <f ca="1">'Fixed inputs'!$C$141</f>
        <v>Input 101-G: Identifiers for customer groupings</v>
      </c>
    </row>
    <row r="84" spans="6:7" x14ac:dyDescent="0.25">
      <c r="F84" s="298" t="s">
        <v>116</v>
      </c>
      <c r="G84" s="58" t="str">
        <f ca="1">'Fixed inputs'!$C$151</f>
        <v>Input 101-H: Decimal places for error checks</v>
      </c>
    </row>
    <row r="85" spans="6:7" ht="15.75" thickBot="1" x14ac:dyDescent="0.3">
      <c r="F85" s="298" t="s">
        <v>116</v>
      </c>
      <c r="G85" s="58" t="str">
        <f ca="1">'Fixed inputs'!$C$155</f>
        <v>Input 101-I: Map of applicable MPANs</v>
      </c>
    </row>
    <row r="86" spans="6:7" ht="15.75" thickTop="1" x14ac:dyDescent="0.25">
      <c r="F86" s="299" t="s">
        <v>56</v>
      </c>
      <c r="G86" s="58" t="str">
        <f ca="1">'Inputs by customer type'!$C$13</f>
        <v>Input 102-A: Load characteristics</v>
      </c>
    </row>
    <row r="87" spans="6:7" x14ac:dyDescent="0.25">
      <c r="F87" s="298" t="s">
        <v>116</v>
      </c>
      <c r="G87" s="58" t="str">
        <f ca="1">'Inputs by customer type'!$C$18</f>
        <v>Input 102-B: Volume forecasts for the charging year</v>
      </c>
    </row>
    <row r="88" spans="6:7" x14ac:dyDescent="0.25">
      <c r="F88" s="298" t="s">
        <v>116</v>
      </c>
      <c r="G88" s="58" t="str">
        <f ca="1">'Inputs by customer type'!$C$49</f>
        <v>Input 102-C: Service model asset values</v>
      </c>
    </row>
    <row r="89" spans="6:7" x14ac:dyDescent="0.25">
      <c r="F89" s="298" t="s">
        <v>116</v>
      </c>
      <c r="G89" s="58" t="str">
        <f ca="1">'Inputs by customer type'!$C$58</f>
        <v>Input 102-D: Previous year all-the-way tariff forecast</v>
      </c>
    </row>
    <row r="90" spans="6:7" ht="15.75" thickBot="1" x14ac:dyDescent="0.3">
      <c r="F90" s="298" t="s">
        <v>116</v>
      </c>
      <c r="G90" s="58" t="str">
        <f ca="1">'Inputs by customer type'!$C$72</f>
        <v>Input 102-E: Previous year net revenue (if known)</v>
      </c>
    </row>
    <row r="91" spans="6:7" ht="15.75" thickTop="1" x14ac:dyDescent="0.25">
      <c r="F91" s="299" t="s">
        <v>58</v>
      </c>
      <c r="G91" s="58" t="str">
        <f ca="1">'Inputs by network level'!$C$13</f>
        <v>Input 103-A: Network and load inputs</v>
      </c>
    </row>
    <row r="92" spans="6:7" x14ac:dyDescent="0.25">
      <c r="F92" s="298" t="s">
        <v>116</v>
      </c>
      <c r="G92" s="58" t="str">
        <f ca="1">'Inputs by network level'!$C$23</f>
        <v>Input 103-B: Customer contributions under current connection charging policy</v>
      </c>
    </row>
    <row r="93" spans="6:7" x14ac:dyDescent="0.25">
      <c r="F93" s="298" t="s">
        <v>116</v>
      </c>
      <c r="G93" s="58" t="str">
        <f ca="1">'Inputs by network level'!$C$31</f>
        <v>Input 103-C: DRM asset costs</v>
      </c>
    </row>
    <row r="94" spans="6:7" ht="15.75" thickBot="1" x14ac:dyDescent="0.3">
      <c r="F94" s="298" t="s">
        <v>116</v>
      </c>
      <c r="G94" s="58" t="str">
        <f ca="1">'Inputs by network level'!$C$35</f>
        <v>Input 103-D: Peaking probabilities by network level</v>
      </c>
    </row>
    <row r="95" spans="6:7" ht="15.75" thickTop="1" x14ac:dyDescent="0.25">
      <c r="F95" s="299" t="s">
        <v>60</v>
      </c>
      <c r="G95" s="58" t="str">
        <f ca="1">'General inputs'!$C$13</f>
        <v>Input 104-A: Inputs by distribution timeband</v>
      </c>
    </row>
    <row r="96" spans="6:7" x14ac:dyDescent="0.25">
      <c r="F96" s="298" t="s">
        <v>116</v>
      </c>
      <c r="G96" s="58" t="str">
        <f ca="1">'General inputs'!$C$25</f>
        <v>Input 104-B: LDNO discount inputs</v>
      </c>
    </row>
    <row r="97" spans="6:7" x14ac:dyDescent="0.25">
      <c r="F97" s="298" t="s">
        <v>116</v>
      </c>
      <c r="G97" s="58" t="str">
        <f ca="1">'General inputs'!$C$35</f>
        <v>Input 104-C: CDCM target revenue</v>
      </c>
    </row>
    <row r="98" spans="6:7" x14ac:dyDescent="0.25">
      <c r="F98" s="298" t="s">
        <v>116</v>
      </c>
      <c r="G98" s="58" t="str">
        <f ca="1">'General inputs'!$C$89</f>
        <v>Input 104-D: Financial and general assumptions</v>
      </c>
    </row>
    <row r="99" spans="6:7" x14ac:dyDescent="0.25">
      <c r="F99" s="298" t="s">
        <v>116</v>
      </c>
      <c r="G99" s="58" t="str">
        <f ca="1">'General inputs'!$C$95</f>
        <v>Input 104-E: Transmission exit charges</v>
      </c>
    </row>
    <row r="100" spans="6:7" ht="15.75" thickBot="1" x14ac:dyDescent="0.3">
      <c r="F100" s="298" t="s">
        <v>116</v>
      </c>
      <c r="G100" s="58" t="str">
        <f ca="1">'General inputs'!$C$99</f>
        <v>Input 104-F: Other expenditure</v>
      </c>
    </row>
    <row r="101" spans="6:7" ht="16.5" thickTop="1" thickBot="1" x14ac:dyDescent="0.3">
      <c r="F101" s="301" t="s">
        <v>120</v>
      </c>
      <c r="G101" s="58" t="str">
        <f ca="1">'Standing charge factors'!$C$19</f>
        <v>Section 101-A: Adjustments to standing charges</v>
      </c>
    </row>
    <row r="102" spans="6:7" ht="15.75" thickTop="1" x14ac:dyDescent="0.25">
      <c r="F102" s="301" t="s">
        <v>64</v>
      </c>
      <c r="G102" s="58" t="str">
        <f ca="1">'Load &amp; loss characteristics'!$C$17</f>
        <v>Section 102-A: Load characteristics</v>
      </c>
    </row>
    <row r="103" spans="6:7" x14ac:dyDescent="0.25">
      <c r="F103" s="300" t="s">
        <v>116</v>
      </c>
      <c r="G103" s="58" t="str">
        <f ca="1">'Load &amp; loss characteristics'!$C$25</f>
        <v>Section 102-B: Loss adjustment factors</v>
      </c>
    </row>
    <row r="104" spans="6:7" x14ac:dyDescent="0.25">
      <c r="F104" s="300" t="s">
        <v>116</v>
      </c>
      <c r="G104" s="58" t="str">
        <f ca="1">'Load &amp; loss characteristics'!$C$35</f>
        <v>Section 102-C: Proportion of relevant load going through 132kV/HV direct transformation</v>
      </c>
    </row>
    <row r="105" spans="6:7" x14ac:dyDescent="0.25">
      <c r="F105" s="300" t="s">
        <v>116</v>
      </c>
      <c r="G105" s="58" t="str">
        <f ca="1">'Load &amp; loss characteristics'!$C$40</f>
        <v>Section 102-D: Network use factors</v>
      </c>
    </row>
    <row r="106" spans="6:7" ht="15.75" thickBot="1" x14ac:dyDescent="0.3">
      <c r="F106" s="300" t="s">
        <v>116</v>
      </c>
      <c r="G106" s="58" t="str">
        <f ca="1">'Load &amp; loss characteristics'!$C$121</f>
        <v>Section 102-E: User loss factors</v>
      </c>
    </row>
    <row r="107" spans="6:7" ht="15.75" thickTop="1" x14ac:dyDescent="0.25">
      <c r="F107" s="301" t="s">
        <v>66</v>
      </c>
      <c r="G107" s="58" t="str">
        <f ca="1">'Customer contributions'!$C$16</f>
        <v>Section 103-A: Network use factors</v>
      </c>
    </row>
    <row r="108" spans="6:7" ht="15.75" thickBot="1" x14ac:dyDescent="0.3">
      <c r="F108" s="300" t="s">
        <v>116</v>
      </c>
      <c r="G108" s="58" t="str">
        <f ca="1">'Customer contributions'!$C$38</f>
        <v>Section 103-B: Customer contributions</v>
      </c>
    </row>
    <row r="109" spans="6:7" ht="15.75" thickTop="1" x14ac:dyDescent="0.25">
      <c r="F109" s="301" t="s">
        <v>68</v>
      </c>
      <c r="G109" s="58" t="str">
        <f ca="1">'Volume adjustments'!$C$15</f>
        <v>Section 104-A: LDNO discounts</v>
      </c>
    </row>
    <row r="110" spans="6:7" ht="15.75" thickBot="1" x14ac:dyDescent="0.3">
      <c r="F110" s="300" t="s">
        <v>116</v>
      </c>
      <c r="G110" s="58" t="str">
        <f ca="1">'Volume adjustments'!$C$55</f>
        <v>Section 104-B: Volume discounting</v>
      </c>
    </row>
    <row r="111" spans="6:7" ht="15.75" thickTop="1" x14ac:dyDescent="0.25">
      <c r="F111" s="301" t="s">
        <v>70</v>
      </c>
      <c r="G111" s="58" t="str">
        <f ca="1">'Pseudo-load coefficients'!$C$18</f>
        <v>Section 105-A: Flags and hours in timebands</v>
      </c>
    </row>
    <row r="112" spans="6:7" x14ac:dyDescent="0.25">
      <c r="F112" s="300" t="s">
        <v>116</v>
      </c>
      <c r="G112" s="58" t="str">
        <f ca="1">'Pseudo-load coefficients'!$C$28</f>
        <v>Section 105-B: Average load by timeband</v>
      </c>
    </row>
    <row r="113" spans="6:7" x14ac:dyDescent="0.25">
      <c r="F113" s="300" t="s">
        <v>116</v>
      </c>
      <c r="G113" s="58" t="str">
        <f ca="1">'Pseudo-load coefficients'!$C$36</f>
        <v>Section 105-C: Aggregated groups for pseudo-load coefficients</v>
      </c>
    </row>
    <row r="114" spans="6:7" x14ac:dyDescent="0.25">
      <c r="F114" s="300" t="s">
        <v>116</v>
      </c>
      <c r="G114" s="58" t="str">
        <f ca="1">'Pseudo-load coefficients'!$C$52</f>
        <v>Section 105-D: Ratio of coincidence to load factor assuming units evenly spread within time bands, and peak falls in Red period</v>
      </c>
    </row>
    <row r="115" spans="6:7" x14ac:dyDescent="0.25">
      <c r="F115" s="300" t="s">
        <v>116</v>
      </c>
      <c r="G115" s="58" t="str">
        <f ca="1">'Pseudo-load coefficients'!$C$60</f>
        <v>Section 105-E: Load characteristics for all customers</v>
      </c>
    </row>
    <row r="116" spans="6:7" x14ac:dyDescent="0.25">
      <c r="F116" s="300" t="s">
        <v>116</v>
      </c>
      <c r="G116" s="58" t="str">
        <f ca="1">'Pseudo-load coefficients'!$C$65</f>
        <v>Section 105-F: Aggregated load characteristics for grouped customers</v>
      </c>
    </row>
    <row r="117" spans="6:7" x14ac:dyDescent="0.25">
      <c r="F117" s="300" t="s">
        <v>116</v>
      </c>
      <c r="G117" s="58" t="str">
        <f ca="1">'Pseudo-load coefficients'!$C$87</f>
        <v>Section 105-G: Calculation of correction factor</v>
      </c>
    </row>
    <row r="118" spans="6:7" x14ac:dyDescent="0.25">
      <c r="F118" s="300" t="s">
        <v>116</v>
      </c>
      <c r="G118" s="58" t="str">
        <f ca="1">'Pseudo-load coefficients'!$C$100</f>
        <v>Section 105-H: Peaking probabilities, by network level</v>
      </c>
    </row>
    <row r="119" spans="6:7" x14ac:dyDescent="0.25">
      <c r="F119" s="300" t="s">
        <v>116</v>
      </c>
      <c r="G119" s="58" t="str">
        <f ca="1">'Pseudo-load coefficients'!$C$174</f>
        <v>Section 105-I: Peaking probabilities, by network level and customer type</v>
      </c>
    </row>
    <row r="120" spans="6:7" x14ac:dyDescent="0.25">
      <c r="F120" s="300" t="s">
        <v>116</v>
      </c>
      <c r="G120" s="58" t="str">
        <f ca="1">'Pseudo-load coefficients'!$C$221</f>
        <v>Section 105-J: Ratio of coincidence factor to load factor, based on uniform distribution in timebands and peaking probabilities</v>
      </c>
    </row>
    <row r="121" spans="6:7" x14ac:dyDescent="0.25">
      <c r="F121" s="300" t="s">
        <v>116</v>
      </c>
      <c r="G121" s="58" t="str">
        <f ca="1">'Pseudo-load coefficients'!$C$265</f>
        <v>Section 105-K: Load coefficient</v>
      </c>
    </row>
    <row r="122" spans="6:7" ht="15.75" thickBot="1" x14ac:dyDescent="0.3">
      <c r="F122" s="300" t="s">
        <v>116</v>
      </c>
      <c r="G122" s="58" t="str">
        <f ca="1">'Pseudo-load coefficients'!$C$269</f>
        <v>Section 105-L: Pseudo load coefficients, by unit rate</v>
      </c>
    </row>
    <row r="123" spans="6:7" ht="15.75" thickTop="1" x14ac:dyDescent="0.25">
      <c r="F123" s="301" t="s">
        <v>72</v>
      </c>
      <c r="G123" s="58" t="str">
        <f ca="1">'System peak demand'!$C$18</f>
        <v>Section 106-A: Common inputs for chargeable load calculations</v>
      </c>
    </row>
    <row r="124" spans="6:7" x14ac:dyDescent="0.25">
      <c r="F124" s="300" t="s">
        <v>116</v>
      </c>
      <c r="G124" s="58" t="str">
        <f ca="1">'System peak demand'!$C$67</f>
        <v>Section 106-B: System peak load, by unit rate</v>
      </c>
    </row>
    <row r="125" spans="6:7" x14ac:dyDescent="0.25">
      <c r="F125" s="300" t="s">
        <v>116</v>
      </c>
      <c r="G125" s="58" t="str">
        <f ca="1">'System peak demand'!$C$138</f>
        <v>Section 106-C: System peak load, all unit rates</v>
      </c>
    </row>
    <row r="126" spans="6:7" x14ac:dyDescent="0.25">
      <c r="F126" s="300" t="s">
        <v>116</v>
      </c>
      <c r="G126" s="58" t="str">
        <f ca="1">'System peak demand'!$C$164</f>
        <v>Section 106-D: Unit rate contributions to chargeable peak load</v>
      </c>
    </row>
    <row r="127" spans="6:7" x14ac:dyDescent="0.25">
      <c r="F127" s="300" t="s">
        <v>116</v>
      </c>
      <c r="G127" s="58" t="str">
        <f ca="1">'System peak demand'!$C$184</f>
        <v>Section 106-E: Adjustment of import and exceeded capacity</v>
      </c>
    </row>
    <row r="128" spans="6:7" x14ac:dyDescent="0.25">
      <c r="F128" s="300" t="s">
        <v>116</v>
      </c>
      <c r="G128" s="58" t="str">
        <f ca="1">'System peak demand'!$C$194</f>
        <v>Section 106-F: Calculation of LV circuit diversity factor</v>
      </c>
    </row>
    <row r="129" spans="6:7" x14ac:dyDescent="0.25">
      <c r="F129" s="300" t="s">
        <v>116</v>
      </c>
      <c r="G129" s="58" t="str">
        <f ca="1">'System peak demand'!$C$236</f>
        <v>Section 106-G: Import/exceeded capacity contribution to system peak</v>
      </c>
    </row>
    <row r="130" spans="6:7" x14ac:dyDescent="0.25">
      <c r="F130" s="300" t="s">
        <v>116</v>
      </c>
      <c r="G130" s="58" t="str">
        <f ca="1">'System peak demand'!$C$249</f>
        <v>Section 106-H: Estimated capacity contribution to system peak</v>
      </c>
    </row>
    <row r="131" spans="6:7" ht="15.75" thickBot="1" x14ac:dyDescent="0.3">
      <c r="F131" s="300" t="s">
        <v>116</v>
      </c>
      <c r="G131" s="58" t="str">
        <f ca="1">'System peak demand'!$C$266</f>
        <v>Section 106-I: System peak based on chargeable load</v>
      </c>
    </row>
    <row r="132" spans="6:7" ht="16.5" thickTop="1" thickBot="1" x14ac:dyDescent="0.3">
      <c r="F132" s="301" t="s">
        <v>74</v>
      </c>
      <c r="G132" s="58" t="str">
        <f ca="1">'Service model assets'!$C$14</f>
        <v>Section 107-A: Service model notional asset values</v>
      </c>
    </row>
    <row r="133" spans="6:7" ht="15.75" thickTop="1" x14ac:dyDescent="0.25">
      <c r="F133" s="301" t="s">
        <v>76</v>
      </c>
      <c r="G133" s="58" t="str">
        <f ca="1">'Unit costs'!$C$19</f>
        <v>Section 108-A: Financial data</v>
      </c>
    </row>
    <row r="134" spans="6:7" x14ac:dyDescent="0.25">
      <c r="F134" s="300" t="s">
        <v>116</v>
      </c>
      <c r="G134" s="58" t="str">
        <f ca="1">'Unit costs'!$C$27</f>
        <v>Section 108-B: Diversity and loss adjustment factors</v>
      </c>
    </row>
    <row r="135" spans="6:7" x14ac:dyDescent="0.25">
      <c r="F135" s="300" t="s">
        <v>116</v>
      </c>
      <c r="G135" s="58" t="str">
        <f ca="1">'Unit costs'!$C$35</f>
        <v>Section 108-C: Maximum demand</v>
      </c>
    </row>
    <row r="136" spans="6:7" x14ac:dyDescent="0.25">
      <c r="F136" s="300" t="s">
        <v>116</v>
      </c>
      <c r="G136" s="58" t="str">
        <f ca="1">'Unit costs'!$C$42</f>
        <v>Section 108-D: Rerouting matrix</v>
      </c>
    </row>
    <row r="137" spans="6:7" x14ac:dyDescent="0.25">
      <c r="F137" s="300" t="s">
        <v>116</v>
      </c>
      <c r="G137" s="58" t="str">
        <f ca="1">'Unit costs'!$C$50</f>
        <v>Section 108-E: Annuitised cost of assets</v>
      </c>
    </row>
    <row r="138" spans="6:7" x14ac:dyDescent="0.25">
      <c r="F138" s="300" t="s">
        <v>116</v>
      </c>
      <c r="G138" s="58" t="str">
        <f ca="1">'Unit costs'!$C$62</f>
        <v>Section 108-F: System simultaneous peak load based on charegable units</v>
      </c>
    </row>
    <row r="139" spans="6:7" x14ac:dyDescent="0.25">
      <c r="F139" s="300" t="s">
        <v>116</v>
      </c>
      <c r="G139" s="58" t="str">
        <f ca="1">'Unit costs'!$C$69</f>
        <v>Section 108-G: Notional asset values, by network level</v>
      </c>
    </row>
    <row r="140" spans="6:7" x14ac:dyDescent="0.25">
      <c r="F140" s="300" t="s">
        <v>116</v>
      </c>
      <c r="G140" s="58" t="str">
        <f ca="1">'Unit costs'!$C$80</f>
        <v>Section 108-H: Other operating costs</v>
      </c>
    </row>
    <row r="141" spans="6:7" x14ac:dyDescent="0.25">
      <c r="F141" s="300" t="s">
        <v>116</v>
      </c>
      <c r="G141" s="58" t="str">
        <f ca="1">'Unit costs'!$C$92</f>
        <v>Section 108-I: Other operating costs by network level</v>
      </c>
    </row>
    <row r="142" spans="6:7" x14ac:dyDescent="0.25">
      <c r="F142" s="300" t="s">
        <v>116</v>
      </c>
      <c r="G142" s="58" t="str">
        <f ca="1">'Unit costs'!$C$104</f>
        <v>Section 108-J: Notional asset values by network level</v>
      </c>
    </row>
    <row r="143" spans="6:7" x14ac:dyDescent="0.25">
      <c r="F143" s="300" t="s">
        <v>116</v>
      </c>
      <c r="G143" s="58" t="str">
        <f ca="1">'Unit costs'!$C$110</f>
        <v>Section 108-K: Unit costs</v>
      </c>
    </row>
    <row r="144" spans="6:7" ht="15.75" thickBot="1" x14ac:dyDescent="0.3">
      <c r="F144" s="300" t="s">
        <v>116</v>
      </c>
      <c r="G144" s="58" t="str">
        <f ca="1">'Unit costs'!$C$117</f>
        <v>Section 108-L: Values used for allocating costs to service models</v>
      </c>
    </row>
    <row r="145" spans="6:7" ht="15.75" thickTop="1" x14ac:dyDescent="0.25">
      <c r="F145" s="301" t="s">
        <v>78</v>
      </c>
      <c r="G145" s="58" t="str">
        <f ca="1">'Initial unit rates'!$C$13</f>
        <v>Section 109-A: Inputs for yardstick and unit rate calculations</v>
      </c>
    </row>
    <row r="146" spans="6:7" x14ac:dyDescent="0.25">
      <c r="F146" s="300" t="s">
        <v>116</v>
      </c>
      <c r="G146" s="58" t="str">
        <f ca="1">'Initial unit rates'!$C$118</f>
        <v>Section 109-B: Yardstick charges</v>
      </c>
    </row>
    <row r="147" spans="6:7" x14ac:dyDescent="0.25">
      <c r="F147" s="300" t="s">
        <v>116</v>
      </c>
      <c r="G147" s="58" t="str">
        <f ca="1">'Initial unit rates'!$C$146</f>
        <v>Section 109-C: Unit rate 1</v>
      </c>
    </row>
    <row r="148" spans="6:7" x14ac:dyDescent="0.25">
      <c r="F148" s="300" t="s">
        <v>116</v>
      </c>
      <c r="G148" s="58" t="str">
        <f ca="1">'Initial unit rates'!$C$175</f>
        <v>Section 109-D: Unit rate 2</v>
      </c>
    </row>
    <row r="149" spans="6:7" ht="15.75" thickBot="1" x14ac:dyDescent="0.3">
      <c r="F149" s="300" t="s">
        <v>116</v>
      </c>
      <c r="G149" s="58" t="str">
        <f ca="1">'Initial unit rates'!$C$204</f>
        <v>Section 109-E: Unit rate 3</v>
      </c>
    </row>
    <row r="150" spans="6:7" ht="15.75" thickTop="1" x14ac:dyDescent="0.25">
      <c r="F150" s="301" t="s">
        <v>80</v>
      </c>
      <c r="G150" s="58" t="str">
        <f ca="1">'Service model charges'!$C$17</f>
        <v>Section 110-A: Inputs to service model charge calculation</v>
      </c>
    </row>
    <row r="151" spans="6:7" x14ac:dyDescent="0.25">
      <c r="F151" s="300" t="s">
        <v>116</v>
      </c>
      <c r="G151" s="58" t="str">
        <f ca="1">'Service model charges'!$C$33</f>
        <v>Section 110-B: Calculation of other operating expenditure per £ of notional asset value</v>
      </c>
    </row>
    <row r="152" spans="6:7" ht="15.75" thickBot="1" x14ac:dyDescent="0.3">
      <c r="F152" s="300" t="s">
        <v>116</v>
      </c>
      <c r="G152" s="58" t="str">
        <f ca="1">'Service model charges'!$C$37</f>
        <v>Section 110-C: Calculation of service model charges</v>
      </c>
    </row>
    <row r="153" spans="6:7" ht="15.75" thickTop="1" x14ac:dyDescent="0.25">
      <c r="F153" s="301" t="s">
        <v>82</v>
      </c>
      <c r="G153" s="58" t="str">
        <f ca="1">'Unit rate charges'!$C$19</f>
        <v>Section 111-A: Initial unit rate 1</v>
      </c>
    </row>
    <row r="154" spans="6:7" x14ac:dyDescent="0.25">
      <c r="F154" s="300" t="s">
        <v>116</v>
      </c>
      <c r="G154" s="58" t="str">
        <f ca="1">'Unit rate charges'!$C$49</f>
        <v>Section 111-B: Initial unit rate 2</v>
      </c>
    </row>
    <row r="155" spans="6:7" x14ac:dyDescent="0.25">
      <c r="F155" s="300" t="s">
        <v>116</v>
      </c>
      <c r="G155" s="58" t="str">
        <f ca="1">'Unit rate charges'!$C$79</f>
        <v>Section 111-C: Initial unit rate 3</v>
      </c>
    </row>
    <row r="156" spans="6:7" x14ac:dyDescent="0.25">
      <c r="F156" s="300" t="s">
        <v>116</v>
      </c>
      <c r="G156" s="58" t="str">
        <f ca="1">'Unit rate charges'!$C$109</f>
        <v>Section 111-D: Standing charge factors</v>
      </c>
    </row>
    <row r="157" spans="6:7" x14ac:dyDescent="0.25">
      <c r="F157" s="300" t="s">
        <v>116</v>
      </c>
      <c r="G157" s="58" t="str">
        <f ca="1">'Unit rate charges'!$C$124</f>
        <v>Section 111-E: Contributions to unit rate 1 p/kWh by network level (taking account of standing charges)</v>
      </c>
    </row>
    <row r="158" spans="6:7" x14ac:dyDescent="0.25">
      <c r="F158" s="300" t="s">
        <v>116</v>
      </c>
      <c r="G158" s="58" t="str">
        <f ca="1">'Unit rate charges'!$C$154</f>
        <v>Section 111-F: Contributions to unit rate 2 p/kWh by network level (taking account of standing charges)</v>
      </c>
    </row>
    <row r="159" spans="6:7" x14ac:dyDescent="0.25">
      <c r="F159" s="300" t="s">
        <v>116</v>
      </c>
      <c r="G159" s="58" t="str">
        <f ca="1">'Unit rate charges'!$C$184</f>
        <v>Section 111-G: Contributions to unit rate 3 p/kWh by network level (taking account of standing charges)</v>
      </c>
    </row>
    <row r="160" spans="6:7" ht="15.75" thickBot="1" x14ac:dyDescent="0.3">
      <c r="F160" s="300" t="s">
        <v>116</v>
      </c>
      <c r="G160" s="58" t="str">
        <f ca="1">'Unit rate charges'!$C$214</f>
        <v>Section 111-H: Unit rates, post application of standing charges</v>
      </c>
    </row>
    <row r="161" spans="6:7" ht="15.75" thickTop="1" x14ac:dyDescent="0.25">
      <c r="F161" s="301" t="s">
        <v>84</v>
      </c>
      <c r="G161" s="58" t="str">
        <f ca="1">'Reactive power charges'!$C$17</f>
        <v>Section 112-A: Inputs to reactive power charge calculations</v>
      </c>
    </row>
    <row r="162" spans="6:7" x14ac:dyDescent="0.25">
      <c r="F162" s="300" t="s">
        <v>116</v>
      </c>
      <c r="G162" s="58" t="str">
        <f ca="1">'Reactive power charges'!$C$120</f>
        <v>Section 112-B: Yardstick charge (demand)</v>
      </c>
    </row>
    <row r="163" spans="6:7" x14ac:dyDescent="0.25">
      <c r="F163" s="300" t="s">
        <v>116</v>
      </c>
      <c r="G163" s="58" t="str">
        <f ca="1">'Reactive power charges'!$C$155</f>
        <v>Section 112-C: Yardstick charge used for generation</v>
      </c>
    </row>
    <row r="164" spans="6:7" x14ac:dyDescent="0.25">
      <c r="F164" s="300" t="s">
        <v>116</v>
      </c>
      <c r="G164" s="58" t="str">
        <f ca="1">'Reactive power charges'!$C$190</f>
        <v>Section 112-D: Reactive power charges, all customer categories</v>
      </c>
    </row>
    <row r="165" spans="6:7" ht="15.75" thickBot="1" x14ac:dyDescent="0.3">
      <c r="F165" s="300" t="s">
        <v>116</v>
      </c>
      <c r="G165" s="58" t="str">
        <f ca="1">'Reactive power charges'!$C$220</f>
        <v>Section 112-E: Reactive power charges for applicable customers</v>
      </c>
    </row>
    <row r="166" spans="6:7" ht="15.75" thickTop="1" x14ac:dyDescent="0.25">
      <c r="F166" s="301" t="s">
        <v>86</v>
      </c>
      <c r="G166" s="58" t="str">
        <f ca="1">'Capacity charges'!$C$19</f>
        <v>Section 113-A: Inputs to capacity charge calculations</v>
      </c>
    </row>
    <row r="167" spans="6:7" x14ac:dyDescent="0.25">
      <c r="F167" s="300" t="s">
        <v>116</v>
      </c>
      <c r="G167" s="58" t="str">
        <f ca="1">'Capacity charges'!$C$129</f>
        <v>Section 113-B: Capacity-based charge elements (to be split between capacity &amp; fixed charges)</v>
      </c>
    </row>
    <row r="168" spans="6:7" x14ac:dyDescent="0.25">
      <c r="F168" s="300" t="s">
        <v>116</v>
      </c>
      <c r="G168" s="58" t="str">
        <f ca="1">'Capacity charges'!$C$159</f>
        <v>Section 113-C: Exceeded capacity-based charge elements</v>
      </c>
    </row>
    <row r="169" spans="6:7" x14ac:dyDescent="0.25">
      <c r="F169" s="300" t="s">
        <v>116</v>
      </c>
      <c r="G169" s="58" t="str">
        <f ca="1">'Capacity charges'!$C$189</f>
        <v>Section 113-D: Capacity charges for eligible customers, by network level</v>
      </c>
    </row>
    <row r="170" spans="6:7" x14ac:dyDescent="0.25">
      <c r="F170" s="300" t="s">
        <v>116</v>
      </c>
      <c r="G170" s="58" t="str">
        <f ca="1">'Capacity charges'!$C$219</f>
        <v>Section 113-E: Exceeded capacity charges for eligible customers, by network level</v>
      </c>
    </row>
    <row r="171" spans="6:7" x14ac:dyDescent="0.25">
      <c r="F171" s="300" t="s">
        <v>116</v>
      </c>
      <c r="G171" s="58" t="str">
        <f ca="1">'Capacity charges'!$C$254</f>
        <v>Section 113-F: Capacity and exceeded capacity charges</v>
      </c>
    </row>
    <row r="172" spans="6:7" ht="15.75" thickBot="1" x14ac:dyDescent="0.3">
      <c r="F172" s="300" t="s">
        <v>116</v>
      </c>
      <c r="G172" s="58" t="str">
        <f ca="1">'Capacity charges'!$C$259</f>
        <v>Section 113-G: Capacity elements allocated to fixed charges</v>
      </c>
    </row>
    <row r="173" spans="6:7" ht="15.75" thickTop="1" x14ac:dyDescent="0.25">
      <c r="F173" s="301" t="s">
        <v>88</v>
      </c>
      <c r="G173" s="58" t="str">
        <f ca="1">'Fixed charges'!$C$16</f>
        <v>Section 114-A: Volumes (discounted MPANs &amp; maximum load)</v>
      </c>
    </row>
    <row r="174" spans="6:7" x14ac:dyDescent="0.25">
      <c r="F174" s="300" t="s">
        <v>116</v>
      </c>
      <c r="G174" s="58" t="str">
        <f ca="1">'Fixed charges'!$C$22</f>
        <v>Section 114-B: Capacity elements allocated to fixed charges</v>
      </c>
    </row>
    <row r="175" spans="6:7" x14ac:dyDescent="0.25">
      <c r="F175" s="300" t="s">
        <v>116</v>
      </c>
      <c r="G175" s="58" t="str">
        <f ca="1">'Fixed charges'!$C$52</f>
        <v>Section 114-C: Service model costs allocated to fixed charges</v>
      </c>
    </row>
    <row r="176" spans="6:7" x14ac:dyDescent="0.25">
      <c r="F176" s="300" t="s">
        <v>116</v>
      </c>
      <c r="G176" s="58" t="str">
        <f ca="1">'Fixed charges'!$C$58</f>
        <v>Section 114-D: Flags</v>
      </c>
    </row>
    <row r="177" spans="6:7" x14ac:dyDescent="0.25">
      <c r="F177" s="300" t="s">
        <v>116</v>
      </c>
      <c r="G177" s="58" t="str">
        <f ca="1">'Fixed charges'!$C$67</f>
        <v>Section 114-E: Revenue allocated to fixed charges</v>
      </c>
    </row>
    <row r="178" spans="6:7" x14ac:dyDescent="0.25">
      <c r="F178" s="300" t="s">
        <v>116</v>
      </c>
      <c r="G178" s="58" t="str">
        <f ca="1">'Fixed charges'!$C$97</f>
        <v>Section 114-F: Revenue allocated to fixed charges, by aggregation group</v>
      </c>
    </row>
    <row r="179" spans="6:7" x14ac:dyDescent="0.25">
      <c r="F179" s="300" t="s">
        <v>116</v>
      </c>
      <c r="G179" s="58" t="str">
        <f ca="1">'Fixed charges'!$C$127</f>
        <v>Section 114-G: Fixed charges, by network level</v>
      </c>
    </row>
    <row r="180" spans="6:7" ht="15.75" thickBot="1" x14ac:dyDescent="0.3">
      <c r="F180" s="300" t="s">
        <v>116</v>
      </c>
      <c r="G180" s="58" t="str">
        <f ca="1">'Fixed charges'!$C$159</f>
        <v>Section 114-H: Aggregated fixed charges</v>
      </c>
    </row>
    <row r="181" spans="6:7" ht="15.75" thickTop="1" x14ac:dyDescent="0.25">
      <c r="F181" s="301" t="s">
        <v>90</v>
      </c>
      <c r="G181" s="58" t="str">
        <f ca="1">'Revenue matching'!$C$15</f>
        <v>Section 115-A: Inputs to revenue matching</v>
      </c>
    </row>
    <row r="182" spans="6:7" x14ac:dyDescent="0.25">
      <c r="F182" s="300" t="s">
        <v>116</v>
      </c>
      <c r="G182" s="58" t="str">
        <f ca="1">'Revenue matching'!$C$45</f>
        <v>Section 115-B: Net revenue before matching</v>
      </c>
    </row>
    <row r="183" spans="6:7" x14ac:dyDescent="0.25">
      <c r="F183" s="300" t="s">
        <v>116</v>
      </c>
      <c r="G183" s="58" t="str">
        <f ca="1">'Revenue matching'!$C$68</f>
        <v>Section 115-C: Calculation of unconstrained adder solution</v>
      </c>
    </row>
    <row r="184" spans="6:7" x14ac:dyDescent="0.25">
      <c r="F184" s="300" t="s">
        <v>116</v>
      </c>
      <c r="G184" s="58" t="str">
        <f ca="1">'Revenue matching'!$C$92</f>
        <v>Section 115-D: Algorithm to find constrained adder solution</v>
      </c>
    </row>
    <row r="185" spans="6:7" ht="15.75" thickBot="1" x14ac:dyDescent="0.3">
      <c r="F185" s="300" t="s">
        <v>116</v>
      </c>
      <c r="G185" s="58" t="str">
        <f ca="1">'Revenue matching'!$C$131</f>
        <v>Section 115-E: Adder to be applied to unit rates</v>
      </c>
    </row>
    <row r="186" spans="6:7" ht="15.75" thickTop="1" x14ac:dyDescent="0.25">
      <c r="F186" s="301" t="s">
        <v>1046</v>
      </c>
      <c r="G186" s="58" t="str">
        <f ca="1">'Fixed charge adder'!$C$16</f>
        <v>Section 116-A: Inputs for fixed tariff adjustments</v>
      </c>
    </row>
    <row r="187" spans="6:7" x14ac:dyDescent="0.25">
      <c r="F187" s="300" t="s">
        <v>116</v>
      </c>
      <c r="G187" s="58" t="str">
        <f ca="1">'Fixed charge adder'!$C$33</f>
        <v>Section 116-B: Calculation of fixed tariff adjustments</v>
      </c>
    </row>
    <row r="188" spans="6:7" ht="15.75" thickBot="1" x14ac:dyDescent="0.3">
      <c r="F188" s="300" t="s">
        <v>116</v>
      </c>
      <c r="G188" s="58" t="str">
        <f ca="1">'Fixed charge adder'!$C$48</f>
        <v>Section 116-C: Calculation of fixed charge adder revenue</v>
      </c>
    </row>
    <row r="189" spans="6:7" ht="15.75" thickTop="1" x14ac:dyDescent="0.25">
      <c r="F189" s="301" t="s">
        <v>92</v>
      </c>
      <c r="G189" s="58" t="str">
        <f ca="1">Rounding!$C$16</f>
        <v>Section 117-A: Pre-match, pre-rounding tariff forecast</v>
      </c>
    </row>
    <row r="190" spans="6:7" x14ac:dyDescent="0.25">
      <c r="F190" s="300" t="s">
        <v>116</v>
      </c>
      <c r="G190" s="58" t="str">
        <f ca="1">Rounding!$C$28</f>
        <v>Section 117-B: Adder to be applied to unit rates</v>
      </c>
    </row>
    <row r="191" spans="6:7" x14ac:dyDescent="0.25">
      <c r="F191" s="300" t="s">
        <v>116</v>
      </c>
      <c r="G191" s="58" t="str">
        <f ca="1">Rounding!$C$40</f>
        <v>Section 117-C: Adder to be applied to fixed charge</v>
      </c>
    </row>
    <row r="192" spans="6:7" x14ac:dyDescent="0.25">
      <c r="F192" s="300" t="s">
        <v>116</v>
      </c>
      <c r="G192" s="58" t="str">
        <f ca="1">Rounding!$C$52</f>
        <v>Section 117-D: LDNO discounts</v>
      </c>
    </row>
    <row r="193" spans="6:7" x14ac:dyDescent="0.25">
      <c r="F193" s="300" t="s">
        <v>116</v>
      </c>
      <c r="G193" s="58" t="str">
        <f ca="1">Rounding!$C$72</f>
        <v>Section 117-E: Decimal places for rounding</v>
      </c>
    </row>
    <row r="194" spans="6:7" x14ac:dyDescent="0.25">
      <c r="F194" s="300" t="s">
        <v>116</v>
      </c>
      <c r="G194" s="58" t="str">
        <f ca="1">Rounding!$C$87</f>
        <v>Section 117-F: Tariff forecast, post-revenue matching</v>
      </c>
    </row>
    <row r="195" spans="6:7" x14ac:dyDescent="0.25">
      <c r="F195" s="300" t="s">
        <v>116</v>
      </c>
      <c r="G195" s="58" t="str">
        <f ca="1">Rounding!$C$98</f>
        <v>Section 117-G: Tariff forecast, post-adders &amp; discounting</v>
      </c>
    </row>
    <row r="196" spans="6:7" ht="15.75" thickBot="1" x14ac:dyDescent="0.3">
      <c r="F196" s="300" t="s">
        <v>116</v>
      </c>
      <c r="G196" s="58" t="str">
        <f ca="1">Rounding!$C$127</f>
        <v>Section 117-H: Tariff forecast, post-rounding</v>
      </c>
    </row>
    <row r="197" spans="6:7" ht="15.75" thickTop="1" x14ac:dyDescent="0.25">
      <c r="F197" s="301" t="s">
        <v>94</v>
      </c>
      <c r="G197" s="58" t="str">
        <f ca="1">'Net revenue summary'!$C$13</f>
        <v>Section 118-A: Volume forecasts</v>
      </c>
    </row>
    <row r="198" spans="6:7" x14ac:dyDescent="0.25">
      <c r="F198" s="300" t="s">
        <v>116</v>
      </c>
      <c r="G198" s="58" t="str">
        <f ca="1">'Net revenue summary'!$C$42</f>
        <v>Section 118-B: Tariff forecast</v>
      </c>
    </row>
    <row r="199" spans="6:7" x14ac:dyDescent="0.25">
      <c r="F199" s="300" t="s">
        <v>116</v>
      </c>
      <c r="G199" s="58" t="str">
        <f ca="1">'Net revenue summary'!$C$71</f>
        <v>Section 118-C: Net revenue components</v>
      </c>
    </row>
    <row r="200" spans="6:7" x14ac:dyDescent="0.25">
      <c r="F200" s="300" t="s">
        <v>116</v>
      </c>
      <c r="G200" s="58" t="str">
        <f ca="1">'Net revenue summary'!$C$81</f>
        <v>Section 118-D: Net revenue by tariff</v>
      </c>
    </row>
    <row r="201" spans="6:7" x14ac:dyDescent="0.25">
      <c r="F201" s="300" t="s">
        <v>116</v>
      </c>
      <c r="G201" s="58" t="str">
        <f ca="1">'Net revenue summary'!$C$113</f>
        <v>Section 118-E: Net revenue summary (for information only)</v>
      </c>
    </row>
    <row r="202" spans="6:7" x14ac:dyDescent="0.25">
      <c r="F202" s="300" t="s">
        <v>116</v>
      </c>
      <c r="G202" s="58" t="str">
        <f ca="1">'Net revenue summary'!$C$126</f>
        <v>Section 118-F: Typical bills</v>
      </c>
    </row>
    <row r="203" spans="6:7" x14ac:dyDescent="0.25">
      <c r="F203" s="300" t="s">
        <v>116</v>
      </c>
      <c r="G203" s="58" t="str">
        <f ca="1">'Net revenue summary'!$C$132</f>
        <v>Section 118-G: Average bill per kWh</v>
      </c>
    </row>
    <row r="204" spans="6:7" x14ac:dyDescent="0.25">
      <c r="F204" s="300" t="s">
        <v>116</v>
      </c>
      <c r="G204" s="58" t="str">
        <f ca="1">'Net revenue summary'!$C$140</f>
        <v>Section 118-H: Previous year all the way tariff forecast</v>
      </c>
    </row>
    <row r="205" spans="6:7" x14ac:dyDescent="0.25">
      <c r="F205" s="300" t="s">
        <v>116</v>
      </c>
      <c r="G205" s="58" t="str">
        <f ca="1">'Net revenue summary'!$C$151</f>
        <v>Section 118-I: Previous year net revenue from all the way tariff forecast</v>
      </c>
    </row>
    <row r="206" spans="6:7" x14ac:dyDescent="0.25">
      <c r="F206" s="300" t="s">
        <v>116</v>
      </c>
      <c r="G206" s="58" t="str">
        <f ca="1">'Net revenue summary'!$C$166</f>
        <v>Section 118-J: LDNO typical bills using all-the-way volumes</v>
      </c>
    </row>
    <row r="207" spans="6:7" ht="15.75" thickBot="1" x14ac:dyDescent="0.3">
      <c r="F207" s="300" t="s">
        <v>116</v>
      </c>
      <c r="G207" s="58" t="str">
        <f ca="1">'Net revenue summary'!$C$190</f>
        <v>Section 118-K: LDNO margins</v>
      </c>
    </row>
    <row r="208" spans="6:7" ht="16.5" thickTop="1" thickBot="1" x14ac:dyDescent="0.3">
      <c r="F208" s="303" t="s">
        <v>96</v>
      </c>
      <c r="G208" s="58" t="str">
        <f>'Tariff summary'!$C$13</f>
        <v>Output 101-A: Tariffs for 2021/22</v>
      </c>
    </row>
    <row r="209" spans="2:7" ht="15.75" thickTop="1" x14ac:dyDescent="0.25">
      <c r="F209" s="303" t="s">
        <v>98</v>
      </c>
      <c r="G209" s="58" t="str">
        <f ca="1">'Output to other models'!$C$14</f>
        <v>Output 102-A: CDCM notional EHV asset values</v>
      </c>
    </row>
    <row r="210" spans="2:7" x14ac:dyDescent="0.25">
      <c r="F210" s="302" t="s">
        <v>116</v>
      </c>
      <c r="G210" s="58" t="str">
        <f ca="1">'Output to other models'!$C$27</f>
        <v>Output 102-B: CDCM end user tariff forecast</v>
      </c>
    </row>
    <row r="211" spans="2:7" x14ac:dyDescent="0.25">
      <c r="F211" s="302" t="s">
        <v>116</v>
      </c>
      <c r="G211" s="58" t="str">
        <f ca="1">'Output to other models'!$C$45</f>
        <v>Output 102-C: CDCM non-tariff outputs to EDCM</v>
      </c>
    </row>
    <row r="212" spans="2:7" x14ac:dyDescent="0.25">
      <c r="F212" s="302" t="s">
        <v>116</v>
      </c>
      <c r="G212" s="58" t="str">
        <f ca="1">'Output to other models'!$C$57</f>
        <v>Output 102-D: Outputs for DNOs' internal use</v>
      </c>
    </row>
    <row r="213" spans="2:7" x14ac:dyDescent="0.25">
      <c r="F213" s="302" t="s">
        <v>116</v>
      </c>
      <c r="G213" s="58" t="str">
        <f ca="1">'Output to other models'!$C$67</f>
        <v>Output 102-E: Outputs for IDNOs' internal use</v>
      </c>
    </row>
    <row r="215" spans="2:7" x14ac:dyDescent="0.25">
      <c r="B215" s="30" t="s">
        <v>106</v>
      </c>
      <c r="C215" s="30"/>
      <c r="D215" s="30"/>
      <c r="E215" s="30"/>
      <c r="F215" s="30"/>
      <c r="G215" s="30"/>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Pseudo-load coefficients'!A4" display="'"/>
    <hyperlink ref="G32" location="'Pseudo-load coefficients'!$B$13" display="'Pseudo-load coefficients'!$B$13"/>
    <hyperlink ref="F33" location="'Pseudo-load coefficients'!A4" display="'"/>
    <hyperlink ref="G33" location="'Pseudo-load coefficients'!$B$56" display="'Pseudo-load coefficients'!$B$56"/>
    <hyperlink ref="F34" location="'Pseudo-load coefficients'!A4" display="'"/>
    <hyperlink ref="G34" location="'Pseudo-load coefficients'!$B$95" display="'Pseudo-load coefficients'!$B$95"/>
    <hyperlink ref="F35" location="'Pseudo-load coefficients'!A4" display="'"/>
    <hyperlink ref="G35" location="'Pseudo-load coefficients'!$B$261" display="'Pseudo-load coefficients'!$B$261"/>
    <hyperlink ref="F36" location="'System peak demand'!A4" display="'"/>
    <hyperlink ref="G36" location="'System peak demand'!$B$16" display="'System peak demand'!$B$16"/>
    <hyperlink ref="F37" location="'System peak demand'!A4" display="'"/>
    <hyperlink ref="G37" location="'System peak demand'!$B$63" display="'System peak demand'!$B$63"/>
    <hyperlink ref="F38" location="'System peak demand'!A4" display="'"/>
    <hyperlink ref="G38" location="'System peak demand'!$B$179" display="'System peak demand'!$B$179"/>
    <hyperlink ref="F39" location="'System peak demand'!A4" display="'"/>
    <hyperlink ref="G39" location="'System peak demand'!$B$262" display="'System peak demand'!$B$262"/>
    <hyperlink ref="F40" location="'Service model assets'!A4" display="'"/>
    <hyperlink ref="G40" location="'Service model assets'!$B$12" display="'Service model assets'!$B$12"/>
    <hyperlink ref="F41" location="'Unit costs'!A4" display="'"/>
    <hyperlink ref="G41" location="'Unit costs'!$B$15" display="'Unit costs'!$B$15"/>
    <hyperlink ref="F42" location="'Unit costs'!A4" display="'"/>
    <hyperlink ref="G42" location="'Unit costs'!$B$58" display="'Unit costs'!$B$58"/>
    <hyperlink ref="F43" location="'Unit costs'!A4" display="'"/>
    <hyperlink ref="G43" location="'Unit costs'!$B$102" display="'Unit costs'!$B$102"/>
    <hyperlink ref="F44" location="'Initial unit rates'!A4" display="'"/>
    <hyperlink ref="G44" location="'Initial unit rates'!$B$11" display="'Initial unit rates'!$B$11"/>
    <hyperlink ref="F45" location="'Initial unit rates'!A4" display="'"/>
    <hyperlink ref="G45" location="'Initial unit rates'!$B$116" display="'Initial unit rates'!$B$116"/>
    <hyperlink ref="F46" location="'Service model charges'!A4" display="'"/>
    <hyperlink ref="G46" location="'Service model charges'!$B$13" display="'Service model charges'!$B$13"/>
    <hyperlink ref="F47" location="'Service model charges'!A4" display="'"/>
    <hyperlink ref="G47" location="'Service model charges'!$B$29" display="'Service model charges'!$B$29"/>
    <hyperlink ref="F48" location="'Unit rate charges'!A4" display="'"/>
    <hyperlink ref="G48" location="'Unit rate charges'!$B$15" display="'Unit rate charges'!$B$15"/>
    <hyperlink ref="F49" location="'Unit rate charges'!A4" display="'"/>
    <hyperlink ref="G49" location="'Unit rate charges'!$B$122" display="'Unit rate charges'!$B$122"/>
    <hyperlink ref="F50" location="'Reactive power charges'!A4" display="'"/>
    <hyperlink ref="G50" location="'Reactive power charges'!$B$13" display="'Reactive power charges'!$B$13"/>
    <hyperlink ref="F51" location="'Reactive power charges'!A4" display="'"/>
    <hyperlink ref="G51" location="'Reactive power charges'!$B$150" display="'Reactive power charges'!$B$150"/>
    <hyperlink ref="F52" location="'Reactive power charges'!A4" display="'"/>
    <hyperlink ref="G52" location="'Reactive power charges'!$B$185" display="'Reactive power charges'!$B$185"/>
    <hyperlink ref="F53" location="'Capacity charges'!A4" display="'"/>
    <hyperlink ref="G53" location="'Capacity charges'!$B$17" display="'Capacity charges'!$B$17"/>
    <hyperlink ref="F54" location="'Capacity charges'!A4" display="'"/>
    <hyperlink ref="G54" location="'Capacity charges'!$B$125" display="'Capacity charges'!$B$125"/>
    <hyperlink ref="F55" location="'Capacity charges'!A4" display="'"/>
    <hyperlink ref="G55" location="'Capacity charges'!$B$249" display="'Capacity charges'!$B$249"/>
    <hyperlink ref="F56" location="'Fixed charges'!A4" display="'"/>
    <hyperlink ref="G56" location="'Fixed charges'!$B$14" display="'Fixed charges'!$B$14"/>
    <hyperlink ref="F57" location="'Fixed charges'!A4" display="'"/>
    <hyperlink ref="G57" location="'Fixed charges'!$B$65" display="'Fixed charges'!$B$65"/>
    <hyperlink ref="F58" location="'Revenue matching'!A4" display="'"/>
    <hyperlink ref="G58" location="'Revenue matching'!$B$13" display="'Revenue matching'!$B$13"/>
    <hyperlink ref="F59" location="'Revenue matching'!A4" display="'"/>
    <hyperlink ref="G59" location="'Revenue matching'!$B$62" display="'Revenue matching'!$B$62"/>
    <hyperlink ref="F60" location="'Fixed charge adder'!A4" display="'"/>
    <hyperlink ref="G60" location="'Fixed charge adder'!$B$12" display="'Fixed charge adder'!$B$12"/>
    <hyperlink ref="F61" location="'Rounding'!A4" display="'"/>
    <hyperlink ref="G61" location="'Rounding'!$B$12" display="'Rounding'!$B$12"/>
    <hyperlink ref="F62" location="'Rounding'!A4" display="'"/>
    <hyperlink ref="G62" location="'Rounding'!$B$83" display="'Rounding'!$B$83"/>
    <hyperlink ref="F63" location="'Net revenue summary'!A4" display="'"/>
    <hyperlink ref="G63" location="'Net revenue summary'!$B$11" display="'Net revenue summary'!$B$11"/>
    <hyperlink ref="F64" location="'Net revenue summary'!A4" display="'"/>
    <hyperlink ref="G64" location="'Net revenue summary'!$B$79" display="'Net revenue summary'!$B$79"/>
    <hyperlink ref="F65" location="'Net revenue summary'!A4" display="'"/>
    <hyperlink ref="G65" location="'Net revenue summary'!$B$138" display="'Net revenue summary'!$B$138"/>
    <hyperlink ref="F66" location="'Net revenue summary'!A4" display="'"/>
    <hyperlink ref="G66" location="'Net revenue summary'!$B$164" display="'Net revenue summary'!$B$164"/>
    <hyperlink ref="F67" location="'Tariff summary'!A4" display="'"/>
    <hyperlink ref="G67" location="'Tariff summary'!$B$11" display="'Tariff summary'!$B$11"/>
    <hyperlink ref="F68" location="'Output to other models'!A4" display="'"/>
    <hyperlink ref="G68" location="'Output to other models'!$B$12" display="'Output to other models'!$B$12"/>
    <hyperlink ref="F69" location="'Output to other models'!A4" display="'"/>
    <hyperlink ref="G69" location="'Output to other models'!$B$25" display="'Output to other models'!$B$25"/>
    <hyperlink ref="F70" location="'Output to other models'!A4" display="'"/>
    <hyperlink ref="G70" location="'Output to other models'!$B$53" display="'Output to other models'!$B$53"/>
    <hyperlink ref="F77" location="'Fixed inputs'!A4" display="'"/>
    <hyperlink ref="G77" location="'Fixed inputs'!$C$13" display="'Fixed inputs'!$C$13"/>
    <hyperlink ref="F78" location="'Fixed inputs'!A4" display="'"/>
    <hyperlink ref="G78" location="'Fixed inputs'!$C$20" display="'Fixed inputs'!$C$20"/>
    <hyperlink ref="F79" location="'Fixed inputs'!A4" display="'"/>
    <hyperlink ref="G79" location="'Fixed inputs'!$C$33" display="'Fixed inputs'!$C$33"/>
    <hyperlink ref="F80" location="'Fixed inputs'!A4" display="'"/>
    <hyperlink ref="G80" location="'Fixed inputs'!$C$43" display="'Fixed inputs'!$C$43"/>
    <hyperlink ref="F81" location="'Fixed inputs'!A4" display="'"/>
    <hyperlink ref="G81" location="'Fixed inputs'!$C$84" display="'Fixed inputs'!$C$84"/>
    <hyperlink ref="F82" location="'Fixed inputs'!A4" display="'"/>
    <hyperlink ref="G82" location="'Fixed inputs'!$C$100" display="'Fixed inputs'!$C$100"/>
    <hyperlink ref="F83" location="'Fixed inputs'!A4" display="'"/>
    <hyperlink ref="G83" location="'Fixed inputs'!$C$142" display="'Fixed inputs'!$C$142"/>
    <hyperlink ref="F84" location="'Fixed inputs'!A4" display="'"/>
    <hyperlink ref="G84" location="'Fixed inputs'!$C$152" display="'Fixed inputs'!$C$152"/>
    <hyperlink ref="F85" location="'Fixed inputs'!A4" display="'"/>
    <hyperlink ref="G85" location="'Fixed inputs'!$C$156" display="'Fixed inputs'!$C$156"/>
    <hyperlink ref="F86" location="'Inputs by customer type'!A4" display="'"/>
    <hyperlink ref="G86" location="'Inputs by customer type'!$C$13" display="'Inputs by customer type'!$C$13"/>
    <hyperlink ref="F87" location="'Inputs by customer type'!A4" display="'"/>
    <hyperlink ref="G87" location="'Inputs by customer type'!$C$18" display="'Inputs by customer type'!$C$18"/>
    <hyperlink ref="F88" location="'Inputs by customer type'!A4" display="'"/>
    <hyperlink ref="G88" location="'Inputs by customer type'!$C$49" display="'Inputs by customer type'!$C$49"/>
    <hyperlink ref="F89" location="'Inputs by customer type'!A4" display="'"/>
    <hyperlink ref="G89" location="'Inputs by customer type'!$C$58" display="'Inputs by customer type'!$C$58"/>
    <hyperlink ref="F90" location="'Inputs by customer type'!A4" display="'"/>
    <hyperlink ref="G90" location="'Inputs by customer type'!$C$72" display="'Inputs by customer type'!$C$72"/>
    <hyperlink ref="F91" location="'Inputs by network level'!A4" display="'"/>
    <hyperlink ref="G91" location="'Inputs by network level'!$C$13" display="'Inputs by network level'!$C$13"/>
    <hyperlink ref="F92" location="'Inputs by network level'!A4" display="'"/>
    <hyperlink ref="G92" location="'Inputs by network level'!$C$23" display="'Inputs by network level'!$C$23"/>
    <hyperlink ref="F93" location="'Inputs by network level'!A4" display="'"/>
    <hyperlink ref="G93" location="'Inputs by network level'!$C$31" display="'Inputs by network level'!$C$31"/>
    <hyperlink ref="F94" location="'Inputs by network level'!A4" display="'"/>
    <hyperlink ref="G94" location="'Inputs by network level'!$C$35" display="'Inputs by network level'!$C$35"/>
    <hyperlink ref="F95" location="'General inputs'!A4" display="'"/>
    <hyperlink ref="G95" location="'General inputs'!$C$13" display="'General inputs'!$C$13"/>
    <hyperlink ref="F96" location="'General inputs'!A4" display="'"/>
    <hyperlink ref="G96" location="'General inputs'!$C$25" display="'General inputs'!$C$25"/>
    <hyperlink ref="F97" location="'General inputs'!A4" display="'"/>
    <hyperlink ref="G97" location="'General inputs'!$C$35" display="'General inputs'!$C$35"/>
    <hyperlink ref="F98" location="'General inputs'!A4" display="'"/>
    <hyperlink ref="G98" location="'General inputs'!$C$89" display="'General inputs'!$C$89"/>
    <hyperlink ref="F99" location="'General inputs'!A4" display="'"/>
    <hyperlink ref="G99" location="'General inputs'!$C$95" display="'General inputs'!$C$95"/>
    <hyperlink ref="F100" location="'General inputs'!A4" display="'"/>
    <hyperlink ref="G100" location="'General inputs'!$C$99" display="'General inputs'!$C$99"/>
    <hyperlink ref="F101" location="'Standing charge factors'!A4" display="'"/>
    <hyperlink ref="G101" location="'Standing charge factors'!$C$19" display="'Standing charge factors'!$C$19"/>
    <hyperlink ref="F102" location="'Load &amp; loss characteristics'!A4" display="'"/>
    <hyperlink ref="G102" location="'Load &amp; loss characteristics'!$C$17" display="'Load &amp; loss characteristics'!$C$17"/>
    <hyperlink ref="F103" location="'Load &amp; loss characteristics'!A4" display="'"/>
    <hyperlink ref="G103" location="'Load &amp; loss characteristics'!$C$25" display="'Load &amp; loss characteristics'!$C$25"/>
    <hyperlink ref="F104" location="'Load &amp; loss characteristics'!A4" display="'"/>
    <hyperlink ref="G104" location="'Load &amp; loss characteristics'!$C$35" display="'Load &amp; loss characteristics'!$C$35"/>
    <hyperlink ref="F105" location="'Load &amp; loss characteristics'!A4" display="'"/>
    <hyperlink ref="G105" location="'Load &amp; loss characteristics'!$C$40" display="'Load &amp; loss characteristics'!$C$40"/>
    <hyperlink ref="F106" location="'Load &amp; loss characteristics'!A4" display="'"/>
    <hyperlink ref="G106" location="'Load &amp; loss characteristics'!$C$121" display="'Load &amp; loss characteristics'!$C$121"/>
    <hyperlink ref="F107" location="'Customer contributions'!A4" display="'"/>
    <hyperlink ref="G107" location="'Customer contributions'!$C$16" display="'Customer contributions'!$C$16"/>
    <hyperlink ref="F108" location="'Customer contributions'!A4" display="'"/>
    <hyperlink ref="G108" location="'Customer contributions'!$C$38" display="'Customer contributions'!$C$38"/>
    <hyperlink ref="F109" location="'Volume adjustments'!A4" display="'"/>
    <hyperlink ref="G109" location="'Volume adjustments'!$C$15" display="'Volume adjustments'!$C$15"/>
    <hyperlink ref="F110" location="'Volume adjustments'!A4" display="'"/>
    <hyperlink ref="G110" location="'Volume adjustments'!$C$55" display="'Volume adjustments'!$C$55"/>
    <hyperlink ref="F111" location="'Pseudo-load coefficients'!A4" display="'"/>
    <hyperlink ref="G111" location="'Pseudo-load coefficients'!$C$18" display="'Pseudo-load coefficients'!$C$18"/>
    <hyperlink ref="F112" location="'Pseudo-load coefficients'!A4" display="'"/>
    <hyperlink ref="G112" location="'Pseudo-load coefficients'!$C$28" display="'Pseudo-load coefficients'!$C$28"/>
    <hyperlink ref="F113" location="'Pseudo-load coefficients'!A4" display="'"/>
    <hyperlink ref="G113" location="'Pseudo-load coefficients'!$C$36" display="'Pseudo-load coefficients'!$C$36"/>
    <hyperlink ref="F114" location="'Pseudo-load coefficients'!A4" display="'"/>
    <hyperlink ref="G114" location="'Pseudo-load coefficients'!$C$52" display="'Pseudo-load coefficients'!$C$52"/>
    <hyperlink ref="F115" location="'Pseudo-load coefficients'!A4" display="'"/>
    <hyperlink ref="G115" location="'Pseudo-load coefficients'!$C$60" display="'Pseudo-load coefficients'!$C$60"/>
    <hyperlink ref="F116" location="'Pseudo-load coefficients'!A4" display="'"/>
    <hyperlink ref="G116" location="'Pseudo-load coefficients'!$C$65" display="'Pseudo-load coefficients'!$C$65"/>
    <hyperlink ref="F117" location="'Pseudo-load coefficients'!A4" display="'"/>
    <hyperlink ref="G117" location="'Pseudo-load coefficients'!$C$87" display="'Pseudo-load coefficients'!$C$87"/>
    <hyperlink ref="F118" location="'Pseudo-load coefficients'!A4" display="'"/>
    <hyperlink ref="G118" location="'Pseudo-load coefficients'!$C$100" display="'Pseudo-load coefficients'!$C$100"/>
    <hyperlink ref="F119" location="'Pseudo-load coefficients'!A4" display="'"/>
    <hyperlink ref="G119" location="'Pseudo-load coefficients'!$C$174" display="'Pseudo-load coefficients'!$C$174"/>
    <hyperlink ref="F120" location="'Pseudo-load coefficients'!A4" display="'"/>
    <hyperlink ref="G120" location="'Pseudo-load coefficients'!$C$221" display="'Pseudo-load coefficients'!$C$221"/>
    <hyperlink ref="F121" location="'Pseudo-load coefficients'!A4" display="'"/>
    <hyperlink ref="G121" location="'Pseudo-load coefficients'!$C$265" display="'Pseudo-load coefficients'!$C$265"/>
    <hyperlink ref="F122" location="'Pseudo-load coefficients'!A4" display="'"/>
    <hyperlink ref="G122" location="'Pseudo-load coefficients'!$C$269" display="'Pseudo-load coefficients'!$C$269"/>
    <hyperlink ref="F123" location="'System peak demand'!A4" display="'"/>
    <hyperlink ref="G123" location="'System peak demand'!$C$18" display="'System peak demand'!$C$18"/>
    <hyperlink ref="F124" location="'System peak demand'!A4" display="'"/>
    <hyperlink ref="G124" location="'System peak demand'!$C$67" display="'System peak demand'!$C$67"/>
    <hyperlink ref="F125" location="'System peak demand'!A4" display="'"/>
    <hyperlink ref="G125" location="'System peak demand'!$C$138" display="'System peak demand'!$C$138"/>
    <hyperlink ref="F126" location="'System peak demand'!A4" display="'"/>
    <hyperlink ref="G126" location="'System peak demand'!$C$164" display="'System peak demand'!$C$164"/>
    <hyperlink ref="F127" location="'System peak demand'!A4" display="'"/>
    <hyperlink ref="G127" location="'System peak demand'!$C$184" display="'System peak demand'!$C$184"/>
    <hyperlink ref="F128" location="'System peak demand'!A4" display="'"/>
    <hyperlink ref="G128" location="'System peak demand'!$C$194" display="'System peak demand'!$C$194"/>
    <hyperlink ref="F129" location="'System peak demand'!A4" display="'"/>
    <hyperlink ref="G129" location="'System peak demand'!$C$236" display="'System peak demand'!$C$236"/>
    <hyperlink ref="F130" location="'System peak demand'!A4" display="'"/>
    <hyperlink ref="G130" location="'System peak demand'!$C$249" display="'System peak demand'!$C$249"/>
    <hyperlink ref="F131" location="'System peak demand'!A4" display="'"/>
    <hyperlink ref="G131" location="'System peak demand'!$C$266" display="'System peak demand'!$C$266"/>
    <hyperlink ref="F132" location="'Service model assets'!A4" display="'"/>
    <hyperlink ref="G132" location="'Service model assets'!$C$14" display="'Service model assets'!$C$14"/>
    <hyperlink ref="F133" location="'Unit costs'!A4" display="'"/>
    <hyperlink ref="G133" location="'Unit costs'!$C$19" display="'Unit costs'!$C$19"/>
    <hyperlink ref="F134" location="'Unit costs'!A4" display="'"/>
    <hyperlink ref="G134" location="'Unit costs'!$C$27" display="'Unit costs'!$C$27"/>
    <hyperlink ref="F135" location="'Unit costs'!A4" display="'"/>
    <hyperlink ref="G135" location="'Unit costs'!$C$35" display="'Unit costs'!$C$35"/>
    <hyperlink ref="F136" location="'Unit costs'!A4" display="'"/>
    <hyperlink ref="G136" location="'Unit costs'!$C$42" display="'Unit costs'!$C$42"/>
    <hyperlink ref="F137" location="'Unit costs'!A4" display="'"/>
    <hyperlink ref="G137" location="'Unit costs'!$C$50" display="'Unit costs'!$C$50"/>
    <hyperlink ref="F138" location="'Unit costs'!A4" display="'"/>
    <hyperlink ref="G138" location="'Unit costs'!$C$62" display="'Unit costs'!$C$62"/>
    <hyperlink ref="F139" location="'Unit costs'!A4" display="'"/>
    <hyperlink ref="G139" location="'Unit costs'!$C$69" display="'Unit costs'!$C$69"/>
    <hyperlink ref="F140" location="'Unit costs'!A4" display="'"/>
    <hyperlink ref="G140" location="'Unit costs'!$C$80" display="'Unit costs'!$C$80"/>
    <hyperlink ref="F141" location="'Unit costs'!A4" display="'"/>
    <hyperlink ref="G141" location="'Unit costs'!$C$92" display="'Unit costs'!$C$92"/>
    <hyperlink ref="F142" location="'Unit costs'!A4" display="'"/>
    <hyperlink ref="G142" location="'Unit costs'!$C$104" display="'Unit costs'!$C$104"/>
    <hyperlink ref="F143" location="'Unit costs'!A4" display="'"/>
    <hyperlink ref="G143" location="'Unit costs'!$C$110" display="'Unit costs'!$C$110"/>
    <hyperlink ref="F144" location="'Unit costs'!A4" display="'"/>
    <hyperlink ref="G144" location="'Unit costs'!$C$117" display="'Unit costs'!$C$117"/>
    <hyperlink ref="F145" location="'Initial unit rates'!A4" display="'"/>
    <hyperlink ref="G145" location="'Initial unit rates'!$C$13" display="'Initial unit rates'!$C$13"/>
    <hyperlink ref="F146" location="'Initial unit rates'!A4" display="'"/>
    <hyperlink ref="G146" location="'Initial unit rates'!$C$118" display="'Initial unit rates'!$C$118"/>
    <hyperlink ref="F147" location="'Initial unit rates'!A4" display="'"/>
    <hyperlink ref="G147" location="'Initial unit rates'!$C$146" display="'Initial unit rates'!$C$146"/>
    <hyperlink ref="F148" location="'Initial unit rates'!A4" display="'"/>
    <hyperlink ref="G148" location="'Initial unit rates'!$C$175" display="'Initial unit rates'!$C$175"/>
    <hyperlink ref="F149" location="'Initial unit rates'!A4" display="'"/>
    <hyperlink ref="G149" location="'Initial unit rates'!$C$204" display="'Initial unit rates'!$C$204"/>
    <hyperlink ref="F150" location="'Service model charges'!A4" display="'"/>
    <hyperlink ref="G150" location="'Service model charges'!$C$17" display="'Service model charges'!$C$17"/>
    <hyperlink ref="F151" location="'Service model charges'!A4" display="'"/>
    <hyperlink ref="G151" location="'Service model charges'!$C$33" display="'Service model charges'!$C$33"/>
    <hyperlink ref="F152" location="'Service model charges'!A4" display="'"/>
    <hyperlink ref="G152" location="'Service model charges'!$C$37" display="'Service model charges'!$C$37"/>
    <hyperlink ref="F153" location="'Unit rate charges'!A4" display="'"/>
    <hyperlink ref="G153" location="'Unit rate charges'!$C$19" display="'Unit rate charges'!$C$19"/>
    <hyperlink ref="F154" location="'Unit rate charges'!A4" display="'"/>
    <hyperlink ref="G154" location="'Unit rate charges'!$C$49" display="'Unit rate charges'!$C$49"/>
    <hyperlink ref="F155" location="'Unit rate charges'!A4" display="'"/>
    <hyperlink ref="G155" location="'Unit rate charges'!$C$79" display="'Unit rate charges'!$C$79"/>
    <hyperlink ref="F156" location="'Unit rate charges'!A4" display="'"/>
    <hyperlink ref="G156" location="'Unit rate charges'!$C$109" display="'Unit rate charges'!$C$109"/>
    <hyperlink ref="F157" location="'Unit rate charges'!A4" display="'"/>
    <hyperlink ref="G157" location="'Unit rate charges'!$C$124" display="'Unit rate charges'!$C$124"/>
    <hyperlink ref="F158" location="'Unit rate charges'!A4" display="'"/>
    <hyperlink ref="G158" location="'Unit rate charges'!$C$154" display="'Unit rate charges'!$C$154"/>
    <hyperlink ref="F159" location="'Unit rate charges'!A4" display="'"/>
    <hyperlink ref="G159" location="'Unit rate charges'!$C$184" display="'Unit rate charges'!$C$184"/>
    <hyperlink ref="F160" location="'Unit rate charges'!A4" display="'"/>
    <hyperlink ref="G160" location="'Unit rate charges'!$C$214" display="'Unit rate charges'!$C$214"/>
    <hyperlink ref="F161" location="'Reactive power charges'!A4" display="'"/>
    <hyperlink ref="G161" location="'Reactive power charges'!$C$17" display="'Reactive power charges'!$C$17"/>
    <hyperlink ref="F162" location="'Reactive power charges'!A4" display="'"/>
    <hyperlink ref="G162" location="'Reactive power charges'!$C$120" display="'Reactive power charges'!$C$120"/>
    <hyperlink ref="F163" location="'Reactive power charges'!A4" display="'"/>
    <hyperlink ref="G163" location="'Reactive power charges'!$C$155" display="'Reactive power charges'!$C$155"/>
    <hyperlink ref="F164" location="'Reactive power charges'!A4" display="'"/>
    <hyperlink ref="G164" location="'Reactive power charges'!$C$190" display="'Reactive power charges'!$C$190"/>
    <hyperlink ref="F165" location="'Reactive power charges'!A4" display="'"/>
    <hyperlink ref="G165" location="'Reactive power charges'!$C$220" display="'Reactive power charges'!$C$220"/>
    <hyperlink ref="F166" location="'Capacity charges'!A4" display="'"/>
    <hyperlink ref="G166" location="'Capacity charges'!$C$19" display="'Capacity charges'!$C$19"/>
    <hyperlink ref="F167" location="'Capacity charges'!A4" display="'"/>
    <hyperlink ref="G167" location="'Capacity charges'!$C$129" display="'Capacity charges'!$C$129"/>
    <hyperlink ref="F168" location="'Capacity charges'!A4" display="'"/>
    <hyperlink ref="G168" location="'Capacity charges'!$C$159" display="'Capacity charges'!$C$159"/>
    <hyperlink ref="F169" location="'Capacity charges'!A4" display="'"/>
    <hyperlink ref="G169" location="'Capacity charges'!$C$189" display="'Capacity charges'!$C$189"/>
    <hyperlink ref="F170" location="'Capacity charges'!A4" display="'"/>
    <hyperlink ref="G170" location="'Capacity charges'!$C$219" display="'Capacity charges'!$C$219"/>
    <hyperlink ref="F171" location="'Capacity charges'!A4" display="'"/>
    <hyperlink ref="G171" location="'Capacity charges'!$C$254" display="'Capacity charges'!$C$254"/>
    <hyperlink ref="F172" location="'Capacity charges'!A4" display="'"/>
    <hyperlink ref="G172" location="'Capacity charges'!$C$259" display="'Capacity charges'!$C$259"/>
    <hyperlink ref="F173" location="'Fixed charges'!A4" display="'"/>
    <hyperlink ref="G173" location="'Fixed charges'!$C$16" display="'Fixed charges'!$C$16"/>
    <hyperlink ref="F174" location="'Fixed charges'!A4" display="'"/>
    <hyperlink ref="G174" location="'Fixed charges'!$C$22" display="'Fixed charges'!$C$22"/>
    <hyperlink ref="F175" location="'Fixed charges'!A4" display="'"/>
    <hyperlink ref="G175" location="'Fixed charges'!$C$52" display="'Fixed charges'!$C$52"/>
    <hyperlink ref="F176" location="'Fixed charges'!A4" display="'"/>
    <hyperlink ref="G176" location="'Fixed charges'!$C$58" display="'Fixed charges'!$C$58"/>
    <hyperlink ref="F177" location="'Fixed charges'!A4" display="'"/>
    <hyperlink ref="G177" location="'Fixed charges'!$C$67" display="'Fixed charges'!$C$67"/>
    <hyperlink ref="F178" location="'Fixed charges'!A4" display="'"/>
    <hyperlink ref="G178" location="'Fixed charges'!$C$97" display="'Fixed charges'!$C$97"/>
    <hyperlink ref="F179" location="'Fixed charges'!A4" display="'"/>
    <hyperlink ref="G179" location="'Fixed charges'!$C$127" display="'Fixed charges'!$C$127"/>
    <hyperlink ref="F180" location="'Fixed charges'!A4" display="'"/>
    <hyperlink ref="G180" location="'Fixed charges'!$C$159" display="'Fixed charges'!$C$159"/>
    <hyperlink ref="F181" location="'Revenue matching'!A4" display="'"/>
    <hyperlink ref="G181" location="'Revenue matching'!$C$15" display="'Revenue matching'!$C$15"/>
    <hyperlink ref="F182" location="'Revenue matching'!A4" display="'"/>
    <hyperlink ref="G182" location="'Revenue matching'!$C$45" display="'Revenue matching'!$C$45"/>
    <hyperlink ref="F183" location="'Revenue matching'!A4" display="'"/>
    <hyperlink ref="G183" location="'Revenue matching'!$C$68" display="'Revenue matching'!$C$68"/>
    <hyperlink ref="F184" location="'Revenue matching'!A4" display="'"/>
    <hyperlink ref="G184" location="'Revenue matching'!$C$92" display="'Revenue matching'!$C$92"/>
    <hyperlink ref="F185" location="'Revenue matching'!A4" display="'"/>
    <hyperlink ref="G185" location="'Revenue matching'!$C$131" display="'Revenue matching'!$C$131"/>
    <hyperlink ref="F186" location="'Fixed charge adder'!A4" display="'"/>
    <hyperlink ref="G186" location="'Fixed charge adder'!$C$16" display="'Fixed charge adder'!$C$16"/>
    <hyperlink ref="F187" location="'Fixed charge adder'!A4" display="'"/>
    <hyperlink ref="G187" location="'Fixed charge adder'!$C$33" display="'Fixed charge adder'!$C$33"/>
    <hyperlink ref="F188" location="'Fixed charge adder'!A4" display="'"/>
    <hyperlink ref="G188" location="'Fixed charge adder'!$C$48" display="'Fixed charge adder'!$C$48"/>
    <hyperlink ref="F189" location="'Rounding'!A4" display="'"/>
    <hyperlink ref="G189" location="'Rounding'!$C$16" display="'Rounding'!$C$16"/>
    <hyperlink ref="F190" location="'Rounding'!A4" display="'"/>
    <hyperlink ref="G190" location="'Rounding'!$C$28" display="'Rounding'!$C$28"/>
    <hyperlink ref="F191" location="'Rounding'!A4" display="'"/>
    <hyperlink ref="G191" location="'Rounding'!$C$40" display="'Rounding'!$C$40"/>
    <hyperlink ref="F192" location="'Rounding'!A4" display="'"/>
    <hyperlink ref="G192" location="'Rounding'!$C$52" display="'Rounding'!$C$52"/>
    <hyperlink ref="F193" location="'Rounding'!A4" display="'"/>
    <hyperlink ref="G193" location="'Rounding'!$C$72" display="'Rounding'!$C$72"/>
    <hyperlink ref="F194" location="'Rounding'!A4" display="'"/>
    <hyperlink ref="G194" location="'Rounding'!$C$87" display="'Rounding'!$C$87"/>
    <hyperlink ref="F195" location="'Rounding'!A4" display="'"/>
    <hyperlink ref="G195" location="'Rounding'!$C$98" display="'Rounding'!$C$98"/>
    <hyperlink ref="F196" location="'Rounding'!A4" display="'"/>
    <hyperlink ref="G196" location="'Rounding'!$C$127" display="'Rounding'!$C$127"/>
    <hyperlink ref="F197" location="'Net revenue summary'!A4" display="'"/>
    <hyperlink ref="G197" location="'Net revenue summary'!$C$13" display="'Net revenue summary'!$C$13"/>
    <hyperlink ref="F198" location="'Net revenue summary'!A4" display="'"/>
    <hyperlink ref="G198" location="'Net revenue summary'!$C$42" display="'Net revenue summary'!$C$42"/>
    <hyperlink ref="F199" location="'Net revenue summary'!A4" display="'"/>
    <hyperlink ref="G199" location="'Net revenue summary'!$C$71" display="'Net revenue summary'!$C$71"/>
    <hyperlink ref="F200" location="'Net revenue summary'!A4" display="'"/>
    <hyperlink ref="G200" location="'Net revenue summary'!$C$81" display="'Net revenue summary'!$C$81"/>
    <hyperlink ref="F201" location="'Net revenue summary'!A4" display="'"/>
    <hyperlink ref="G201" location="'Net revenue summary'!$C$113" display="'Net revenue summary'!$C$113"/>
    <hyperlink ref="F202" location="'Net revenue summary'!A4" display="'"/>
    <hyperlink ref="G202" location="'Net revenue summary'!$C$126" display="'Net revenue summary'!$C$126"/>
    <hyperlink ref="F203" location="'Net revenue summary'!A4" display="'"/>
    <hyperlink ref="G203" location="'Net revenue summary'!$C$132" display="'Net revenue summary'!$C$132"/>
    <hyperlink ref="F204" location="'Net revenue summary'!A4" display="'"/>
    <hyperlink ref="G204" location="'Net revenue summary'!$C$140" display="'Net revenue summary'!$C$140"/>
    <hyperlink ref="F205" location="'Net revenue summary'!A4" display="'"/>
    <hyperlink ref="G205" location="'Net revenue summary'!$C$151" display="'Net revenue summary'!$C$151"/>
    <hyperlink ref="F206" location="'Net revenue summary'!A4" display="'"/>
    <hyperlink ref="G206" location="'Net revenue summary'!$C$166" display="'Net revenue summary'!$C$166"/>
    <hyperlink ref="F207" location="'Net revenue summary'!A4" display="'"/>
    <hyperlink ref="G207" location="'Net revenue summary'!$C$190" display="'Net revenue summary'!$C$190"/>
    <hyperlink ref="F208" location="'Tariff summary'!A4" display="'"/>
    <hyperlink ref="G208" location="'Tariff summary'!$C$13" display="'Tariff summary'!$C$13"/>
    <hyperlink ref="F209" location="'Output to other models'!A4" display="'"/>
    <hyperlink ref="G209" location="'Output to other models'!$C$14" display="'Output to other models'!$C$14"/>
    <hyperlink ref="F210" location="'Output to other models'!A4" display="'"/>
    <hyperlink ref="G210" location="'Output to other models'!$C$27" display="'Output to other models'!$C$27"/>
    <hyperlink ref="F211" location="'Output to other models'!A4" display="'"/>
    <hyperlink ref="G211" location="'Output to other models'!$C$40" display="'Output to other models'!$C$40"/>
    <hyperlink ref="F212" location="'Output to other models'!A4" display="'"/>
    <hyperlink ref="G212" location="'Output to other models'!$C$55" display="'Output to other models'!$C$55"/>
    <hyperlink ref="F213" location="'Output to other models'!A4" display="'"/>
    <hyperlink ref="G213" location="'Output to other models'!$C$65" display="'Output to other models'!$C$65"/>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A18"/>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27" width="0" hidden="1" customWidth="1"/>
    <col min="28" max="16384" width="9.28515625" hidden="1"/>
  </cols>
  <sheetData>
    <row r="1" spans="1:8" s="1" customFormat="1" x14ac:dyDescent="0.25">
      <c r="A1" s="1" t="str">
        <f ca="1">MID(CELL("filename",A1),FIND("]",CELL("filename",A1))+1,255)</f>
        <v>Named ranges</v>
      </c>
    </row>
    <row r="2" spans="1:8" s="1" customFormat="1" x14ac:dyDescent="0.25">
      <c r="A2" s="1" t="str">
        <f>Cover!D21&amp;" - "&amp;Cover!D23</f>
        <v>WPD East Midlands - April 21 Prices</v>
      </c>
    </row>
    <row r="3" spans="1:8" s="5" customFormat="1" x14ac:dyDescent="0.25">
      <c r="A3" s="5" t="str">
        <f>Cover!D2&amp;" - "&amp;Cover!D8&amp;" v"&amp;Cover!D10&amp;" - "&amp;Cover!D19</f>
        <v>CDCM charging model - Release for charge setting v5 - 2021/22</v>
      </c>
    </row>
    <row r="5" spans="1:8" x14ac:dyDescent="0.25">
      <c r="B5" s="41" t="s">
        <v>121</v>
      </c>
      <c r="C5" s="41"/>
      <c r="D5" s="41"/>
      <c r="E5" s="41"/>
      <c r="F5" s="42"/>
      <c r="G5" s="42"/>
      <c r="H5" s="42"/>
    </row>
    <row r="6" spans="1:8" x14ac:dyDescent="0.25">
      <c r="B6" s="40"/>
      <c r="C6" s="40"/>
      <c r="D6" s="40"/>
      <c r="E6" s="40"/>
      <c r="F6" s="43"/>
      <c r="G6" s="40"/>
      <c r="H6" s="40"/>
    </row>
    <row r="7" spans="1:8" x14ac:dyDescent="0.25">
      <c r="F7" s="58" t="s">
        <v>122</v>
      </c>
      <c r="G7" t="s">
        <v>123</v>
      </c>
      <c r="H7" t="s">
        <v>114</v>
      </c>
    </row>
    <row r="8" spans="1:8" x14ac:dyDescent="0.25">
      <c r="F8" s="58" t="s">
        <v>124</v>
      </c>
      <c r="G8" t="s">
        <v>125</v>
      </c>
      <c r="H8" t="s">
        <v>53</v>
      </c>
    </row>
    <row r="9" spans="1:8" x14ac:dyDescent="0.25">
      <c r="F9" s="58" t="s">
        <v>126</v>
      </c>
      <c r="G9" t="s">
        <v>127</v>
      </c>
      <c r="H9" t="s">
        <v>60</v>
      </c>
    </row>
    <row r="10" spans="1:8" x14ac:dyDescent="0.25">
      <c r="F10" s="58" t="s">
        <v>128</v>
      </c>
      <c r="G10" t="s">
        <v>129</v>
      </c>
      <c r="H10" t="s">
        <v>114</v>
      </c>
    </row>
    <row r="11" spans="1:8" x14ac:dyDescent="0.25">
      <c r="F11" s="58" t="s">
        <v>130</v>
      </c>
      <c r="G11" t="s">
        <v>131</v>
      </c>
      <c r="H11" t="s">
        <v>53</v>
      </c>
    </row>
    <row r="12" spans="1:8" x14ac:dyDescent="0.25">
      <c r="F12" s="58" t="s">
        <v>132</v>
      </c>
      <c r="G12" t="s">
        <v>133</v>
      </c>
      <c r="H12" t="s">
        <v>60</v>
      </c>
    </row>
    <row r="13" spans="1:8" x14ac:dyDescent="0.25">
      <c r="F13" s="58" t="s">
        <v>134</v>
      </c>
      <c r="G13" t="s">
        <v>135</v>
      </c>
      <c r="H13" t="s">
        <v>53</v>
      </c>
    </row>
    <row r="14" spans="1:8" x14ac:dyDescent="0.25">
      <c r="F14" s="58" t="s">
        <v>136</v>
      </c>
      <c r="G14" t="s">
        <v>137</v>
      </c>
      <c r="H14" t="s">
        <v>53</v>
      </c>
    </row>
    <row r="15" spans="1:8" x14ac:dyDescent="0.25">
      <c r="F15" s="58" t="s">
        <v>138</v>
      </c>
      <c r="G15" t="s">
        <v>139</v>
      </c>
      <c r="H15" t="s">
        <v>53</v>
      </c>
    </row>
    <row r="16" spans="1:8" x14ac:dyDescent="0.25">
      <c r="F16" s="58" t="s">
        <v>140</v>
      </c>
      <c r="G16" t="s">
        <v>141</v>
      </c>
      <c r="H16" t="s">
        <v>53</v>
      </c>
    </row>
    <row r="17" spans="2:8" x14ac:dyDescent="0.25">
      <c r="F17" s="58"/>
    </row>
    <row r="18" spans="2:8" x14ac:dyDescent="0.25">
      <c r="B18" s="41" t="s">
        <v>106</v>
      </c>
      <c r="C18" s="41"/>
      <c r="D18" s="41"/>
      <c r="E18" s="41"/>
      <c r="F18" s="42"/>
      <c r="G18" s="42"/>
      <c r="H18" s="42"/>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BI17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4" width="9.28515625" hidden="1" customWidth="1"/>
    <col min="45" max="16384" width="9.28515625" hidden="1"/>
  </cols>
  <sheetData>
    <row r="1" spans="1:27" s="1" customFormat="1" x14ac:dyDescent="0.25">
      <c r="A1" s="1" t="str">
        <f ca="1">MID(CELL("filename",A1),FIND("]",CELL("filename",A1))+1,255)</f>
        <v>Fixed inputs</v>
      </c>
    </row>
    <row r="2" spans="1:27" s="1" customFormat="1" x14ac:dyDescent="0.25">
      <c r="A2" s="1" t="str">
        <f>Cover!D21&amp;" - "&amp;Cover!D23</f>
        <v>WPD East Midlands - April 21 Prices</v>
      </c>
    </row>
    <row r="3" spans="1:27" s="5" customFormat="1" x14ac:dyDescent="0.25">
      <c r="A3" s="5" t="str">
        <f>Cover!D2&amp;" - "&amp;Cover!D8&amp;" v"&amp;Cover!D10&amp;" - "&amp;Cover!D19</f>
        <v>CDCM charging model - Release for charge setting v5 - 2021/22</v>
      </c>
    </row>
    <row r="4" spans="1:27" x14ac:dyDescent="0.25">
      <c r="A4" s="12" t="str">
        <f>H172 &amp; IF(H172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146</v>
      </c>
    </row>
    <row r="11" spans="1:27" x14ac:dyDescent="0.25">
      <c r="B11" s="30" t="s">
        <v>53</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row>
    <row r="13" spans="1:27" x14ac:dyDescent="0.25">
      <c r="C13" s="31" t="str">
        <f ca="1">INDEX('Version control'!$H$34:$H$57,MATCH($A$1,'Version control'!$F$34:$F$57,0),1)&amp;"-A: Conversions and time"</f>
        <v>Input 101-A: Conversions and time</v>
      </c>
      <c r="D13" s="31"/>
      <c r="E13" s="31"/>
      <c r="F13" s="31"/>
      <c r="G13" s="31"/>
      <c r="H13" s="31"/>
      <c r="I13" s="31"/>
      <c r="J13" s="31"/>
      <c r="K13" s="31"/>
      <c r="L13" s="31"/>
      <c r="M13" s="31"/>
      <c r="N13" s="31"/>
      <c r="O13" s="31"/>
      <c r="P13" s="31"/>
      <c r="Q13" s="31"/>
      <c r="R13" s="31"/>
      <c r="S13" s="31"/>
      <c r="T13" s="31"/>
      <c r="U13" s="31"/>
      <c r="V13" s="31"/>
      <c r="W13" s="31"/>
      <c r="X13" s="31"/>
      <c r="Y13" s="31"/>
      <c r="Z13" s="31"/>
      <c r="AA13" s="31"/>
    </row>
    <row r="15" spans="1:27" x14ac:dyDescent="0.25">
      <c r="E15" s="28" t="s">
        <v>131</v>
      </c>
      <c r="G15" t="s">
        <v>147</v>
      </c>
      <c r="H15" s="246">
        <v>24</v>
      </c>
    </row>
    <row r="16" spans="1:27" x14ac:dyDescent="0.25">
      <c r="E16" s="28" t="s">
        <v>148</v>
      </c>
      <c r="G16" t="s">
        <v>149</v>
      </c>
      <c r="H16" s="246">
        <v>10</v>
      </c>
    </row>
    <row r="17" spans="3:27" x14ac:dyDescent="0.25">
      <c r="E17" s="28" t="s">
        <v>150</v>
      </c>
      <c r="G17" t="s">
        <v>149</v>
      </c>
      <c r="H17" s="246">
        <v>100</v>
      </c>
    </row>
    <row r="18" spans="3:27" x14ac:dyDescent="0.25">
      <c r="E18" s="28" t="s">
        <v>151</v>
      </c>
      <c r="G18" t="s">
        <v>149</v>
      </c>
      <c r="H18" s="246">
        <v>1000</v>
      </c>
    </row>
    <row r="20" spans="3:27" x14ac:dyDescent="0.25">
      <c r="C20" s="31" t="str">
        <f ca="1">INDEX('Version control'!$H$34:$H$57,MATCH($A$1,'Version control'!$F$34:$F$57,0),1)&amp;"-B: Input 101-B: Rounding"</f>
        <v>Input 101-B: Input 101-B: Rounding</v>
      </c>
      <c r="D20" s="31"/>
      <c r="E20" s="31"/>
      <c r="F20" s="31"/>
      <c r="G20" s="31"/>
      <c r="H20" s="31"/>
      <c r="I20" s="31"/>
      <c r="J20" s="31"/>
      <c r="K20" s="31"/>
      <c r="L20" s="31"/>
      <c r="M20" s="31"/>
      <c r="N20" s="31"/>
      <c r="O20" s="31"/>
      <c r="P20" s="31"/>
      <c r="Q20" s="31"/>
      <c r="R20" s="31"/>
      <c r="S20" s="31"/>
      <c r="T20" s="31"/>
      <c r="U20" s="31"/>
      <c r="V20" s="31"/>
      <c r="W20" s="31"/>
      <c r="X20" s="31"/>
      <c r="Y20" s="31"/>
      <c r="Z20" s="31"/>
      <c r="AA20" s="31"/>
    </row>
    <row r="22" spans="3:27" x14ac:dyDescent="0.25">
      <c r="D22" s="29" t="s">
        <v>152</v>
      </c>
    </row>
    <row r="23" spans="3:27" x14ac:dyDescent="0.25">
      <c r="E23" s="32"/>
    </row>
    <row r="24" spans="3:27" x14ac:dyDescent="0.25">
      <c r="E24" s="32" t="s">
        <v>153</v>
      </c>
      <c r="F24" s="29"/>
      <c r="I24" t="s">
        <v>154</v>
      </c>
      <c r="AA24" t="s">
        <v>155</v>
      </c>
    </row>
    <row r="25" spans="3:27" x14ac:dyDescent="0.25">
      <c r="F25" s="23" t="s">
        <v>156</v>
      </c>
      <c r="G25" s="23" t="s">
        <v>149</v>
      </c>
      <c r="H25" s="250">
        <v>3</v>
      </c>
    </row>
    <row r="26" spans="3:27" x14ac:dyDescent="0.25">
      <c r="F26" t="s">
        <v>157</v>
      </c>
      <c r="G26" t="s">
        <v>149</v>
      </c>
      <c r="H26" s="246">
        <v>3</v>
      </c>
    </row>
    <row r="27" spans="3:27" x14ac:dyDescent="0.25">
      <c r="F27" t="s">
        <v>158</v>
      </c>
      <c r="G27" t="s">
        <v>149</v>
      </c>
      <c r="H27" s="246">
        <v>3</v>
      </c>
    </row>
    <row r="28" spans="3:27" x14ac:dyDescent="0.25">
      <c r="F28" t="s">
        <v>159</v>
      </c>
      <c r="G28" t="s">
        <v>149</v>
      </c>
      <c r="H28" s="246">
        <v>2</v>
      </c>
    </row>
    <row r="29" spans="3:27" x14ac:dyDescent="0.25">
      <c r="F29" t="s">
        <v>160</v>
      </c>
      <c r="G29" t="s">
        <v>149</v>
      </c>
      <c r="H29" s="246">
        <v>2</v>
      </c>
    </row>
    <row r="30" spans="3:27" x14ac:dyDescent="0.25">
      <c r="F30" t="s">
        <v>161</v>
      </c>
      <c r="G30" t="s">
        <v>149</v>
      </c>
      <c r="H30" s="246">
        <v>2</v>
      </c>
    </row>
    <row r="31" spans="3:27" x14ac:dyDescent="0.25">
      <c r="F31" s="37" t="s">
        <v>162</v>
      </c>
      <c r="G31" s="37" t="s">
        <v>149</v>
      </c>
      <c r="H31" s="251">
        <v>3</v>
      </c>
    </row>
    <row r="33" spans="3:27" x14ac:dyDescent="0.25">
      <c r="C33" s="31" t="str">
        <f ca="1">INDEX('Version control'!$H$34:$H$57,MATCH($A$1,'Version control'!$F$34:$F$57,0),1)&amp;"-C: Financial and general assumptions"</f>
        <v>Input 101-C: Financial and general assumptions</v>
      </c>
      <c r="D33" s="31"/>
      <c r="E33" s="31"/>
      <c r="F33" s="31"/>
      <c r="G33" s="31"/>
      <c r="H33" s="31"/>
      <c r="I33" s="31"/>
      <c r="J33" s="31"/>
      <c r="K33" s="31"/>
      <c r="L33" s="31"/>
      <c r="M33" s="31"/>
      <c r="N33" s="31"/>
      <c r="O33" s="31"/>
      <c r="P33" s="31"/>
      <c r="Q33" s="31"/>
      <c r="R33" s="31"/>
      <c r="S33" s="31"/>
      <c r="T33" s="31"/>
      <c r="U33" s="31"/>
      <c r="V33" s="31"/>
      <c r="W33" s="31"/>
      <c r="X33" s="31"/>
      <c r="Y33" s="31"/>
      <c r="Z33" s="31"/>
      <c r="AA33" s="31"/>
    </row>
    <row r="35" spans="3:27" x14ac:dyDescent="0.25">
      <c r="E35" s="28" t="s">
        <v>163</v>
      </c>
      <c r="G35" t="s">
        <v>164</v>
      </c>
      <c r="H35" s="246">
        <v>40</v>
      </c>
      <c r="I35" t="s">
        <v>154</v>
      </c>
      <c r="AA35" s="3" t="s">
        <v>165</v>
      </c>
    </row>
    <row r="37" spans="3:27" x14ac:dyDescent="0.25">
      <c r="E37" s="28" t="s">
        <v>166</v>
      </c>
      <c r="G37" t="s">
        <v>167</v>
      </c>
      <c r="H37" s="246">
        <v>0.95</v>
      </c>
      <c r="I37" t="s">
        <v>154</v>
      </c>
      <c r="AA37" t="s">
        <v>168</v>
      </c>
    </row>
    <row r="39" spans="3:27" x14ac:dyDescent="0.25">
      <c r="E39" s="28" t="s">
        <v>169</v>
      </c>
      <c r="G39" t="s">
        <v>167</v>
      </c>
      <c r="H39" s="252">
        <v>0.6</v>
      </c>
      <c r="I39" t="s">
        <v>154</v>
      </c>
      <c r="AA39" s="3" t="s">
        <v>170</v>
      </c>
    </row>
    <row r="41" spans="3:27" x14ac:dyDescent="0.25">
      <c r="E41" s="28" t="s">
        <v>171</v>
      </c>
      <c r="G41" s="28" t="s">
        <v>172</v>
      </c>
      <c r="H41" s="246">
        <v>500</v>
      </c>
      <c r="I41" t="s">
        <v>154</v>
      </c>
      <c r="AA41" s="63" t="s">
        <v>173</v>
      </c>
    </row>
    <row r="43" spans="3:27" x14ac:dyDescent="0.25">
      <c r="C43" s="31" t="str">
        <f ca="1">INDEX('Version control'!$H$34:$H$57,MATCH($A$1,'Version control'!$F$34:$F$57,0),1)&amp;"-D: Mappings"</f>
        <v>Input 101-D: Mappings</v>
      </c>
      <c r="D43" s="31"/>
      <c r="E43" s="31"/>
      <c r="F43" s="31"/>
      <c r="G43" s="31"/>
      <c r="H43" s="31"/>
      <c r="I43" s="31"/>
      <c r="J43" s="31"/>
      <c r="K43" s="31"/>
      <c r="L43" s="31"/>
      <c r="M43" s="31"/>
      <c r="N43" s="31"/>
      <c r="O43" s="31"/>
      <c r="P43" s="31"/>
      <c r="Q43" s="31"/>
      <c r="R43" s="31"/>
      <c r="S43" s="31"/>
      <c r="T43" s="31"/>
      <c r="U43" s="31"/>
      <c r="V43" s="31"/>
      <c r="W43" s="31"/>
      <c r="X43" s="31"/>
      <c r="Y43" s="31"/>
      <c r="Z43" s="31"/>
      <c r="AA43" s="31"/>
    </row>
    <row r="45" spans="3:27" x14ac:dyDescent="0.25">
      <c r="E45" s="32" t="s">
        <v>174</v>
      </c>
    </row>
    <row r="46" spans="3:27" x14ac:dyDescent="0.25">
      <c r="F46" s="64" t="s">
        <v>175</v>
      </c>
      <c r="G46" s="23" t="s">
        <v>176</v>
      </c>
      <c r="H46" s="23"/>
      <c r="I46" s="23"/>
      <c r="J46" s="250">
        <v>1</v>
      </c>
      <c r="K46" s="250">
        <v>1</v>
      </c>
      <c r="L46" s="250">
        <v>1</v>
      </c>
      <c r="M46" s="250">
        <v>1</v>
      </c>
      <c r="N46" s="250">
        <v>1</v>
      </c>
      <c r="O46" s="250">
        <v>0</v>
      </c>
      <c r="P46" s="250">
        <v>0</v>
      </c>
      <c r="Q46" s="250">
        <v>1</v>
      </c>
      <c r="R46" s="65"/>
      <c r="S46" s="65"/>
      <c r="T46" s="65"/>
      <c r="U46" s="65"/>
      <c r="V46" s="65"/>
      <c r="W46" s="65"/>
      <c r="X46" s="65"/>
      <c r="Y46" s="65"/>
    </row>
    <row r="47" spans="3:27" x14ac:dyDescent="0.25">
      <c r="F47" s="28" t="s">
        <v>177</v>
      </c>
      <c r="G47" t="s">
        <v>176</v>
      </c>
      <c r="J47" s="246">
        <v>1</v>
      </c>
      <c r="K47" s="246">
        <v>1</v>
      </c>
      <c r="L47" s="246">
        <v>1</v>
      </c>
      <c r="M47" s="246">
        <v>1</v>
      </c>
      <c r="N47" s="246">
        <v>1</v>
      </c>
      <c r="O47" s="246">
        <v>0</v>
      </c>
      <c r="P47" s="246">
        <v>0</v>
      </c>
      <c r="Q47" s="246">
        <v>1</v>
      </c>
      <c r="R47" s="66"/>
      <c r="S47" s="66"/>
      <c r="T47" s="66"/>
      <c r="U47" s="66"/>
      <c r="V47" s="66"/>
      <c r="W47" s="66"/>
      <c r="X47" s="66"/>
      <c r="Y47" s="66"/>
    </row>
    <row r="48" spans="3:27" x14ac:dyDescent="0.25">
      <c r="F48" s="28" t="s">
        <v>178</v>
      </c>
      <c r="G48" t="s">
        <v>176</v>
      </c>
      <c r="J48" s="246">
        <v>0</v>
      </c>
      <c r="K48" s="246">
        <v>0</v>
      </c>
      <c r="L48" s="246">
        <v>0</v>
      </c>
      <c r="M48" s="246">
        <v>0</v>
      </c>
      <c r="N48" s="246">
        <v>0</v>
      </c>
      <c r="O48" s="246">
        <v>1</v>
      </c>
      <c r="P48" s="246">
        <v>0</v>
      </c>
      <c r="Q48" s="246">
        <v>0</v>
      </c>
      <c r="R48" s="66"/>
      <c r="S48" s="66"/>
      <c r="T48" s="66"/>
      <c r="U48" s="66"/>
      <c r="V48" s="66"/>
      <c r="W48" s="66"/>
      <c r="X48" s="66"/>
      <c r="Y48" s="66"/>
    </row>
    <row r="49" spans="5:27" x14ac:dyDescent="0.25">
      <c r="F49" s="67" t="s">
        <v>179</v>
      </c>
      <c r="G49" s="37" t="s">
        <v>176</v>
      </c>
      <c r="H49" s="37"/>
      <c r="I49" s="37"/>
      <c r="J49" s="251">
        <v>0</v>
      </c>
      <c r="K49" s="251">
        <v>0</v>
      </c>
      <c r="L49" s="251">
        <v>0</v>
      </c>
      <c r="M49" s="251">
        <v>0</v>
      </c>
      <c r="N49" s="251">
        <v>0</v>
      </c>
      <c r="O49" s="251">
        <v>0</v>
      </c>
      <c r="P49" s="251">
        <v>1</v>
      </c>
      <c r="Q49" s="251">
        <v>0</v>
      </c>
      <c r="R49" s="68"/>
      <c r="S49" s="68"/>
      <c r="T49" s="68"/>
      <c r="U49" s="68"/>
      <c r="V49" s="68"/>
      <c r="W49" s="68"/>
      <c r="X49" s="68"/>
      <c r="Y49" s="68"/>
    </row>
    <row r="51" spans="5:27" x14ac:dyDescent="0.25">
      <c r="E51" s="32" t="s">
        <v>180</v>
      </c>
      <c r="I51" t="s">
        <v>154</v>
      </c>
      <c r="AA51" s="3" t="s">
        <v>181</v>
      </c>
    </row>
    <row r="52" spans="5:27" x14ac:dyDescent="0.25">
      <c r="E52" s="29" t="s">
        <v>182</v>
      </c>
    </row>
    <row r="53" spans="5:27" x14ac:dyDescent="0.25">
      <c r="F53" s="64" t="s">
        <v>183</v>
      </c>
      <c r="G53" s="23" t="s">
        <v>176</v>
      </c>
      <c r="H53" s="69"/>
      <c r="I53" s="69"/>
      <c r="J53" s="250">
        <v>0</v>
      </c>
      <c r="K53" s="250">
        <v>0</v>
      </c>
      <c r="L53" s="250">
        <v>0</v>
      </c>
      <c r="M53" s="250">
        <v>0</v>
      </c>
      <c r="N53" s="250">
        <v>0</v>
      </c>
      <c r="O53" s="250">
        <v>0</v>
      </c>
      <c r="P53" s="250">
        <v>0</v>
      </c>
      <c r="Q53" s="250">
        <v>0</v>
      </c>
      <c r="R53" s="250">
        <v>0</v>
      </c>
      <c r="S53" s="250">
        <v>0</v>
      </c>
      <c r="T53" s="250">
        <v>0</v>
      </c>
      <c r="U53" s="250">
        <v>0</v>
      </c>
      <c r="V53" s="250">
        <v>0</v>
      </c>
      <c r="W53" s="250">
        <v>0</v>
      </c>
      <c r="X53" s="250">
        <v>0</v>
      </c>
      <c r="Y53" s="250">
        <v>0</v>
      </c>
    </row>
    <row r="54" spans="5:27" x14ac:dyDescent="0.25">
      <c r="F54" s="28" t="s">
        <v>184</v>
      </c>
      <c r="G54" t="s">
        <v>176</v>
      </c>
      <c r="J54" s="246">
        <v>0</v>
      </c>
      <c r="K54" s="246">
        <v>0</v>
      </c>
      <c r="L54" s="246">
        <v>0</v>
      </c>
      <c r="M54" s="246">
        <v>0</v>
      </c>
      <c r="N54" s="246">
        <v>0</v>
      </c>
      <c r="O54" s="246">
        <v>0</v>
      </c>
      <c r="P54" s="246">
        <v>1</v>
      </c>
      <c r="Q54" s="246">
        <v>0</v>
      </c>
      <c r="R54" s="246">
        <v>0</v>
      </c>
      <c r="S54" s="246">
        <v>0</v>
      </c>
      <c r="T54" s="246">
        <v>0</v>
      </c>
      <c r="U54" s="246">
        <v>0</v>
      </c>
      <c r="V54" s="246">
        <v>0</v>
      </c>
      <c r="W54" s="246">
        <v>0</v>
      </c>
      <c r="X54" s="246">
        <v>1</v>
      </c>
      <c r="Y54" s="246">
        <v>1</v>
      </c>
    </row>
    <row r="55" spans="5:27" x14ac:dyDescent="0.25">
      <c r="F55" s="28" t="s">
        <v>185</v>
      </c>
      <c r="G55" t="s">
        <v>176</v>
      </c>
      <c r="J55" s="246">
        <v>0</v>
      </c>
      <c r="K55" s="246">
        <v>0</v>
      </c>
      <c r="L55" s="246">
        <v>0</v>
      </c>
      <c r="M55" s="246">
        <v>0</v>
      </c>
      <c r="N55" s="246">
        <v>0</v>
      </c>
      <c r="O55" s="246">
        <v>1</v>
      </c>
      <c r="P55" s="246">
        <v>0</v>
      </c>
      <c r="Q55" s="246">
        <v>0</v>
      </c>
      <c r="R55" s="246">
        <v>0</v>
      </c>
      <c r="S55" s="246">
        <v>1</v>
      </c>
      <c r="T55" s="246">
        <v>0</v>
      </c>
      <c r="U55" s="246">
        <v>0</v>
      </c>
      <c r="V55" s="246">
        <v>1</v>
      </c>
      <c r="W55" s="246">
        <v>1</v>
      </c>
      <c r="X55" s="246">
        <v>0</v>
      </c>
      <c r="Y55" s="246">
        <v>0</v>
      </c>
    </row>
    <row r="56" spans="5:27" x14ac:dyDescent="0.25">
      <c r="F56" s="67" t="s">
        <v>186</v>
      </c>
      <c r="G56" s="37" t="s">
        <v>176</v>
      </c>
      <c r="H56" s="37"/>
      <c r="I56" s="37"/>
      <c r="J56" s="251">
        <v>1</v>
      </c>
      <c r="K56" s="251">
        <v>1</v>
      </c>
      <c r="L56" s="251">
        <v>1</v>
      </c>
      <c r="M56" s="251">
        <v>1</v>
      </c>
      <c r="N56" s="251">
        <v>1</v>
      </c>
      <c r="O56" s="251">
        <v>0</v>
      </c>
      <c r="P56" s="251">
        <v>0</v>
      </c>
      <c r="Q56" s="251">
        <v>1</v>
      </c>
      <c r="R56" s="251">
        <v>1</v>
      </c>
      <c r="S56" s="251">
        <v>0</v>
      </c>
      <c r="T56" s="251">
        <v>1</v>
      </c>
      <c r="U56" s="251">
        <v>1</v>
      </c>
      <c r="V56" s="251">
        <v>0</v>
      </c>
      <c r="W56" s="251">
        <v>0</v>
      </c>
      <c r="X56" s="251">
        <v>0</v>
      </c>
      <c r="Y56" s="251">
        <v>0</v>
      </c>
    </row>
    <row r="57" spans="5:27" x14ac:dyDescent="0.25">
      <c r="H57" s="3"/>
      <c r="I57" s="3"/>
    </row>
    <row r="58" spans="5:27" x14ac:dyDescent="0.25">
      <c r="E58" s="32" t="s">
        <v>187</v>
      </c>
    </row>
    <row r="59" spans="5:27" x14ac:dyDescent="0.25">
      <c r="E59" s="29" t="s">
        <v>188</v>
      </c>
    </row>
    <row r="60" spans="5:27" x14ac:dyDescent="0.25">
      <c r="F60" s="23" t="s">
        <v>189</v>
      </c>
      <c r="G60" s="23" t="s">
        <v>190</v>
      </c>
      <c r="H60" s="23"/>
      <c r="I60" s="23"/>
      <c r="J60" s="250">
        <v>1</v>
      </c>
      <c r="K60" s="250">
        <v>1</v>
      </c>
      <c r="L60" s="250">
        <v>1</v>
      </c>
      <c r="M60" s="250">
        <v>1</v>
      </c>
      <c r="N60" s="250">
        <v>1</v>
      </c>
      <c r="O60" s="250">
        <v>1</v>
      </c>
      <c r="P60" s="250">
        <v>1</v>
      </c>
      <c r="Q60" s="250">
        <v>1</v>
      </c>
      <c r="R60" s="250">
        <v>-1</v>
      </c>
      <c r="S60" s="250">
        <v>-1</v>
      </c>
      <c r="T60" s="250">
        <v>-1</v>
      </c>
      <c r="U60" s="250">
        <v>-1</v>
      </c>
      <c r="V60" s="250">
        <v>-1</v>
      </c>
      <c r="W60" s="250">
        <v>-1</v>
      </c>
      <c r="X60" s="250">
        <v>-1</v>
      </c>
      <c r="Y60" s="250">
        <v>-1</v>
      </c>
    </row>
    <row r="61" spans="5:27" x14ac:dyDescent="0.25">
      <c r="F61" t="s">
        <v>191</v>
      </c>
      <c r="G61" t="s">
        <v>190</v>
      </c>
      <c r="J61" s="246">
        <v>1</v>
      </c>
      <c r="K61" s="246">
        <v>1</v>
      </c>
      <c r="L61" s="246">
        <v>1</v>
      </c>
      <c r="M61" s="246">
        <v>1</v>
      </c>
      <c r="N61" s="246">
        <v>1</v>
      </c>
      <c r="O61" s="246">
        <v>1</v>
      </c>
      <c r="P61" s="246">
        <v>1</v>
      </c>
      <c r="Q61" s="246">
        <v>1</v>
      </c>
      <c r="R61" s="246">
        <v>-1</v>
      </c>
      <c r="S61" s="246">
        <v>-1</v>
      </c>
      <c r="T61" s="246">
        <v>-1</v>
      </c>
      <c r="U61" s="246">
        <v>-1</v>
      </c>
      <c r="V61" s="246">
        <v>-1</v>
      </c>
      <c r="W61" s="246">
        <v>-1</v>
      </c>
      <c r="X61" s="246">
        <v>-1</v>
      </c>
      <c r="Y61" s="246">
        <v>-1</v>
      </c>
    </row>
    <row r="62" spans="5:27" x14ac:dyDescent="0.25">
      <c r="F62" t="s">
        <v>192</v>
      </c>
      <c r="G62" t="s">
        <v>190</v>
      </c>
      <c r="J62" s="246">
        <v>1</v>
      </c>
      <c r="K62" s="246">
        <v>1</v>
      </c>
      <c r="L62" s="246">
        <v>1</v>
      </c>
      <c r="M62" s="246">
        <v>1</v>
      </c>
      <c r="N62" s="246">
        <v>1</v>
      </c>
      <c r="O62" s="246">
        <v>1</v>
      </c>
      <c r="P62" s="246">
        <v>1</v>
      </c>
      <c r="Q62" s="246">
        <v>1</v>
      </c>
      <c r="R62" s="246">
        <v>-1</v>
      </c>
      <c r="S62" s="246">
        <v>-1</v>
      </c>
      <c r="T62" s="246">
        <v>-1</v>
      </c>
      <c r="U62" s="246">
        <v>-1</v>
      </c>
      <c r="V62" s="246">
        <v>-1</v>
      </c>
      <c r="W62" s="246">
        <v>-1</v>
      </c>
      <c r="X62" s="246">
        <v>-1</v>
      </c>
      <c r="Y62" s="246">
        <v>-1</v>
      </c>
    </row>
    <row r="63" spans="5:27" x14ac:dyDescent="0.25">
      <c r="F63" t="s">
        <v>193</v>
      </c>
      <c r="G63" t="s">
        <v>190</v>
      </c>
      <c r="J63" s="246">
        <v>1</v>
      </c>
      <c r="K63" s="246">
        <v>1</v>
      </c>
      <c r="L63" s="246">
        <v>1</v>
      </c>
      <c r="M63" s="246">
        <v>1</v>
      </c>
      <c r="N63" s="246">
        <v>1</v>
      </c>
      <c r="O63" s="246">
        <v>1</v>
      </c>
      <c r="P63" s="246">
        <v>1</v>
      </c>
      <c r="Q63" s="246">
        <v>1</v>
      </c>
      <c r="R63" s="246">
        <v>-1</v>
      </c>
      <c r="S63" s="246">
        <v>-1</v>
      </c>
      <c r="T63" s="246">
        <v>-1</v>
      </c>
      <c r="U63" s="246">
        <v>-1</v>
      </c>
      <c r="V63" s="246">
        <v>-1</v>
      </c>
      <c r="W63" s="246">
        <v>-1</v>
      </c>
      <c r="X63" s="246">
        <v>-1</v>
      </c>
      <c r="Y63" s="246">
        <v>-1</v>
      </c>
    </row>
    <row r="64" spans="5:27" x14ac:dyDescent="0.25">
      <c r="F64" t="s">
        <v>194</v>
      </c>
      <c r="G64" t="s">
        <v>190</v>
      </c>
      <c r="J64" s="246">
        <v>1</v>
      </c>
      <c r="K64" s="246">
        <v>1</v>
      </c>
      <c r="L64" s="246">
        <v>1</v>
      </c>
      <c r="M64" s="246">
        <v>1</v>
      </c>
      <c r="N64" s="246">
        <v>1</v>
      </c>
      <c r="O64" s="246">
        <v>1</v>
      </c>
      <c r="P64" s="246">
        <v>1</v>
      </c>
      <c r="Q64" s="246">
        <v>1</v>
      </c>
      <c r="R64" s="246">
        <v>-1</v>
      </c>
      <c r="S64" s="246">
        <v>-1</v>
      </c>
      <c r="T64" s="246">
        <v>-1</v>
      </c>
      <c r="U64" s="246">
        <v>-1</v>
      </c>
      <c r="V64" s="246">
        <v>-1</v>
      </c>
      <c r="W64" s="246">
        <v>-1</v>
      </c>
      <c r="X64" s="246">
        <v>-1</v>
      </c>
      <c r="Y64" s="246">
        <v>-1</v>
      </c>
    </row>
    <row r="65" spans="5:27" x14ac:dyDescent="0.25">
      <c r="F65" t="s">
        <v>195</v>
      </c>
      <c r="G65" t="s">
        <v>190</v>
      </c>
      <c r="J65" s="246">
        <v>1</v>
      </c>
      <c r="K65" s="246">
        <v>1</v>
      </c>
      <c r="L65" s="246">
        <v>1</v>
      </c>
      <c r="M65" s="246">
        <v>1</v>
      </c>
      <c r="N65" s="246">
        <v>1</v>
      </c>
      <c r="O65" s="246">
        <v>1</v>
      </c>
      <c r="P65" s="246">
        <v>1</v>
      </c>
      <c r="Q65" s="246">
        <v>1</v>
      </c>
      <c r="R65" s="246">
        <v>-1</v>
      </c>
      <c r="S65" s="246">
        <v>-1</v>
      </c>
      <c r="T65" s="246">
        <v>-1</v>
      </c>
      <c r="U65" s="246">
        <v>-1</v>
      </c>
      <c r="V65" s="246">
        <v>-1</v>
      </c>
      <c r="W65" s="246">
        <v>-1</v>
      </c>
      <c r="X65" s="246">
        <v>-1</v>
      </c>
      <c r="Y65" s="246">
        <v>-1</v>
      </c>
    </row>
    <row r="66" spans="5:27" x14ac:dyDescent="0.25">
      <c r="F66" t="s">
        <v>196</v>
      </c>
      <c r="G66" t="s">
        <v>190</v>
      </c>
      <c r="J66" s="246">
        <v>1</v>
      </c>
      <c r="K66" s="246">
        <v>1</v>
      </c>
      <c r="L66" s="246">
        <v>1</v>
      </c>
      <c r="M66" s="246">
        <v>1</v>
      </c>
      <c r="N66" s="246">
        <v>1</v>
      </c>
      <c r="O66" s="246">
        <v>1</v>
      </c>
      <c r="P66" s="246">
        <v>1</v>
      </c>
      <c r="Q66" s="246">
        <v>1</v>
      </c>
      <c r="R66" s="246">
        <v>-1</v>
      </c>
      <c r="S66" s="246">
        <v>-1</v>
      </c>
      <c r="T66" s="246">
        <v>-1</v>
      </c>
      <c r="U66" s="246">
        <v>-1</v>
      </c>
      <c r="V66" s="246">
        <v>-1</v>
      </c>
      <c r="W66" s="246">
        <v>-1</v>
      </c>
      <c r="X66" s="246">
        <v>-1</v>
      </c>
      <c r="Y66" s="246">
        <v>-1</v>
      </c>
    </row>
    <row r="67" spans="5:27" x14ac:dyDescent="0.25">
      <c r="F67" t="s">
        <v>197</v>
      </c>
      <c r="G67" t="s">
        <v>190</v>
      </c>
      <c r="J67" s="246">
        <v>1</v>
      </c>
      <c r="K67" s="246">
        <v>1</v>
      </c>
      <c r="L67" s="246">
        <v>1</v>
      </c>
      <c r="M67" s="246">
        <v>1</v>
      </c>
      <c r="N67" s="246">
        <v>1</v>
      </c>
      <c r="O67" s="246">
        <v>1</v>
      </c>
      <c r="P67" s="246">
        <v>1</v>
      </c>
      <c r="Q67" s="246">
        <v>1</v>
      </c>
      <c r="R67" s="246">
        <v>-1</v>
      </c>
      <c r="S67" s="246">
        <v>-1</v>
      </c>
      <c r="T67" s="246">
        <v>-1</v>
      </c>
      <c r="U67" s="246">
        <v>-1</v>
      </c>
      <c r="V67" s="246">
        <v>-1</v>
      </c>
      <c r="W67" s="246">
        <v>-1</v>
      </c>
      <c r="X67" s="246">
        <v>-1</v>
      </c>
      <c r="Y67" s="246">
        <v>-1</v>
      </c>
    </row>
    <row r="68" spans="5:27" x14ac:dyDescent="0.25">
      <c r="F68" t="s">
        <v>198</v>
      </c>
      <c r="G68" t="s">
        <v>190</v>
      </c>
      <c r="J68" s="246">
        <v>1</v>
      </c>
      <c r="K68" s="246">
        <v>1</v>
      </c>
      <c r="L68" s="246">
        <v>1</v>
      </c>
      <c r="M68" s="246">
        <v>1</v>
      </c>
      <c r="N68" s="246">
        <v>1</v>
      </c>
      <c r="O68" s="246">
        <v>1</v>
      </c>
      <c r="P68" s="246">
        <v>0</v>
      </c>
      <c r="Q68" s="246">
        <v>1</v>
      </c>
      <c r="R68" s="246">
        <v>-1</v>
      </c>
      <c r="S68" s="246">
        <v>-1</v>
      </c>
      <c r="T68" s="246">
        <v>-1</v>
      </c>
      <c r="U68" s="246">
        <v>-1</v>
      </c>
      <c r="V68" s="246">
        <v>-1</v>
      </c>
      <c r="W68" s="246">
        <v>-1</v>
      </c>
      <c r="X68" s="246">
        <v>0</v>
      </c>
      <c r="Y68" s="246">
        <v>0</v>
      </c>
    </row>
    <row r="69" spans="5:27" x14ac:dyDescent="0.25">
      <c r="F69" s="37" t="s">
        <v>199</v>
      </c>
      <c r="G69" s="37" t="s">
        <v>190</v>
      </c>
      <c r="H69" s="37"/>
      <c r="I69" s="37"/>
      <c r="J69" s="251">
        <v>1</v>
      </c>
      <c r="K69" s="251">
        <v>1</v>
      </c>
      <c r="L69" s="251">
        <v>1</v>
      </c>
      <c r="M69" s="251">
        <v>1</v>
      </c>
      <c r="N69" s="251">
        <v>1</v>
      </c>
      <c r="O69" s="251">
        <v>0</v>
      </c>
      <c r="P69" s="251">
        <v>0</v>
      </c>
      <c r="Q69" s="251">
        <v>1</v>
      </c>
      <c r="R69" s="251">
        <v>-1</v>
      </c>
      <c r="S69" s="251">
        <v>0</v>
      </c>
      <c r="T69" s="251">
        <v>-1</v>
      </c>
      <c r="U69" s="251">
        <v>-1</v>
      </c>
      <c r="V69" s="251">
        <v>0</v>
      </c>
      <c r="W69" s="251">
        <v>0</v>
      </c>
      <c r="X69" s="251">
        <v>0</v>
      </c>
      <c r="Y69" s="251">
        <v>0</v>
      </c>
    </row>
    <row r="71" spans="5:27" x14ac:dyDescent="0.25">
      <c r="E71" s="32" t="s">
        <v>200</v>
      </c>
      <c r="I71" t="s">
        <v>154</v>
      </c>
      <c r="AA71" s="3" t="s">
        <v>201</v>
      </c>
    </row>
    <row r="72" spans="5:27" x14ac:dyDescent="0.25">
      <c r="E72" s="29" t="s">
        <v>202</v>
      </c>
    </row>
    <row r="73" spans="5:27" x14ac:dyDescent="0.25">
      <c r="E73" s="29"/>
      <c r="F73" s="23" t="s">
        <v>189</v>
      </c>
      <c r="G73" s="23" t="s">
        <v>190</v>
      </c>
      <c r="H73" s="23"/>
      <c r="I73" s="23"/>
      <c r="J73" s="250">
        <v>1</v>
      </c>
      <c r="K73" s="250">
        <v>1</v>
      </c>
      <c r="L73" s="250">
        <v>1</v>
      </c>
      <c r="M73" s="250">
        <v>1</v>
      </c>
      <c r="N73" s="250">
        <v>1</v>
      </c>
      <c r="O73" s="250">
        <v>1</v>
      </c>
      <c r="P73" s="250">
        <v>1</v>
      </c>
      <c r="Q73" s="250">
        <v>1</v>
      </c>
      <c r="R73" s="250">
        <v>-1</v>
      </c>
      <c r="S73" s="250">
        <v>-1</v>
      </c>
      <c r="T73" s="250">
        <v>-1</v>
      </c>
      <c r="U73" s="250">
        <v>-1</v>
      </c>
      <c r="V73" s="250">
        <v>-1</v>
      </c>
      <c r="W73" s="250">
        <v>-1</v>
      </c>
      <c r="X73" s="250">
        <v>-1</v>
      </c>
      <c r="Y73" s="250">
        <v>-1</v>
      </c>
    </row>
    <row r="74" spans="5:27" x14ac:dyDescent="0.25">
      <c r="E74" s="29"/>
      <c r="F74" t="s">
        <v>191</v>
      </c>
      <c r="G74" t="s">
        <v>190</v>
      </c>
      <c r="J74" s="246">
        <v>1</v>
      </c>
      <c r="K74" s="246">
        <v>1</v>
      </c>
      <c r="L74" s="246">
        <v>1</v>
      </c>
      <c r="M74" s="246">
        <v>1</v>
      </c>
      <c r="N74" s="246">
        <v>1</v>
      </c>
      <c r="O74" s="246">
        <v>1</v>
      </c>
      <c r="P74" s="246">
        <v>1</v>
      </c>
      <c r="Q74" s="246">
        <v>1</v>
      </c>
      <c r="R74" s="246">
        <v>-1</v>
      </c>
      <c r="S74" s="246">
        <v>-1</v>
      </c>
      <c r="T74" s="246">
        <v>-1</v>
      </c>
      <c r="U74" s="246">
        <v>-1</v>
      </c>
      <c r="V74" s="246">
        <v>-1</v>
      </c>
      <c r="W74" s="246">
        <v>-1</v>
      </c>
      <c r="X74" s="246">
        <v>-1</v>
      </c>
      <c r="Y74" s="246">
        <v>-1</v>
      </c>
    </row>
    <row r="75" spans="5:27" x14ac:dyDescent="0.25">
      <c r="E75" s="29"/>
      <c r="F75" t="s">
        <v>192</v>
      </c>
      <c r="G75" t="s">
        <v>190</v>
      </c>
      <c r="J75" s="246">
        <v>1</v>
      </c>
      <c r="K75" s="246">
        <v>1</v>
      </c>
      <c r="L75" s="246">
        <v>1</v>
      </c>
      <c r="M75" s="246">
        <v>1</v>
      </c>
      <c r="N75" s="246">
        <v>1</v>
      </c>
      <c r="O75" s="246">
        <v>1</v>
      </c>
      <c r="P75" s="246">
        <v>1</v>
      </c>
      <c r="Q75" s="246">
        <v>1</v>
      </c>
      <c r="R75" s="246">
        <v>-1</v>
      </c>
      <c r="S75" s="246">
        <v>-1</v>
      </c>
      <c r="T75" s="246">
        <v>-1</v>
      </c>
      <c r="U75" s="246">
        <v>-1</v>
      </c>
      <c r="V75" s="246">
        <v>-1</v>
      </c>
      <c r="W75" s="246">
        <v>-1</v>
      </c>
      <c r="X75" s="246">
        <v>-1</v>
      </c>
      <c r="Y75" s="246">
        <v>-1</v>
      </c>
    </row>
    <row r="76" spans="5:27" x14ac:dyDescent="0.25">
      <c r="E76" s="29"/>
      <c r="F76" t="s">
        <v>193</v>
      </c>
      <c r="G76" t="s">
        <v>190</v>
      </c>
      <c r="J76" s="246">
        <v>1</v>
      </c>
      <c r="K76" s="246">
        <v>1</v>
      </c>
      <c r="L76" s="246">
        <v>1</v>
      </c>
      <c r="M76" s="246">
        <v>1</v>
      </c>
      <c r="N76" s="246">
        <v>1</v>
      </c>
      <c r="O76" s="246">
        <v>1</v>
      </c>
      <c r="P76" s="246">
        <v>1</v>
      </c>
      <c r="Q76" s="246">
        <v>1</v>
      </c>
      <c r="R76" s="246">
        <v>-1</v>
      </c>
      <c r="S76" s="246">
        <v>-1</v>
      </c>
      <c r="T76" s="246">
        <v>-1</v>
      </c>
      <c r="U76" s="246">
        <v>-1</v>
      </c>
      <c r="V76" s="246">
        <v>-1</v>
      </c>
      <c r="W76" s="246">
        <v>-1</v>
      </c>
      <c r="X76" s="246">
        <v>-1</v>
      </c>
      <c r="Y76" s="246">
        <v>-1</v>
      </c>
    </row>
    <row r="77" spans="5:27" x14ac:dyDescent="0.25">
      <c r="E77" s="29"/>
      <c r="F77" t="s">
        <v>194</v>
      </c>
      <c r="G77" t="s">
        <v>190</v>
      </c>
      <c r="J77" s="246">
        <v>1</v>
      </c>
      <c r="K77" s="246">
        <v>1</v>
      </c>
      <c r="L77" s="246">
        <v>1</v>
      </c>
      <c r="M77" s="246">
        <v>1</v>
      </c>
      <c r="N77" s="246">
        <v>1</v>
      </c>
      <c r="O77" s="246">
        <v>1</v>
      </c>
      <c r="P77" s="246">
        <v>1</v>
      </c>
      <c r="Q77" s="246">
        <v>1</v>
      </c>
      <c r="R77" s="246">
        <v>-1</v>
      </c>
      <c r="S77" s="246">
        <v>-1</v>
      </c>
      <c r="T77" s="246">
        <v>-1</v>
      </c>
      <c r="U77" s="246">
        <v>-1</v>
      </c>
      <c r="V77" s="246">
        <v>-1</v>
      </c>
      <c r="W77" s="246">
        <v>-1</v>
      </c>
      <c r="X77" s="246">
        <v>-1</v>
      </c>
      <c r="Y77" s="246">
        <v>-1</v>
      </c>
    </row>
    <row r="78" spans="5:27" x14ac:dyDescent="0.25">
      <c r="E78" s="29"/>
      <c r="F78" t="s">
        <v>195</v>
      </c>
      <c r="G78" t="s">
        <v>190</v>
      </c>
      <c r="J78" s="246">
        <v>1</v>
      </c>
      <c r="K78" s="246">
        <v>1</v>
      </c>
      <c r="L78" s="246">
        <v>1</v>
      </c>
      <c r="M78" s="246">
        <v>1</v>
      </c>
      <c r="N78" s="246">
        <v>1</v>
      </c>
      <c r="O78" s="246">
        <v>1</v>
      </c>
      <c r="P78" s="246">
        <v>1</v>
      </c>
      <c r="Q78" s="246">
        <v>1</v>
      </c>
      <c r="R78" s="246">
        <v>-1</v>
      </c>
      <c r="S78" s="246">
        <v>-1</v>
      </c>
      <c r="T78" s="246">
        <v>-1</v>
      </c>
      <c r="U78" s="246">
        <v>-1</v>
      </c>
      <c r="V78" s="246">
        <v>-1</v>
      </c>
      <c r="W78" s="246">
        <v>-1</v>
      </c>
      <c r="X78" s="246">
        <v>-1</v>
      </c>
      <c r="Y78" s="246">
        <v>-1</v>
      </c>
    </row>
    <row r="79" spans="5:27" x14ac:dyDescent="0.25">
      <c r="E79" s="29"/>
      <c r="F79" t="s">
        <v>196</v>
      </c>
      <c r="G79" t="s">
        <v>190</v>
      </c>
      <c r="J79" s="246">
        <v>1</v>
      </c>
      <c r="K79" s="246">
        <v>1</v>
      </c>
      <c r="L79" s="246">
        <v>1</v>
      </c>
      <c r="M79" s="246">
        <v>1</v>
      </c>
      <c r="N79" s="246">
        <v>1</v>
      </c>
      <c r="O79" s="246">
        <v>1</v>
      </c>
      <c r="P79" s="246">
        <v>1</v>
      </c>
      <c r="Q79" s="246">
        <v>1</v>
      </c>
      <c r="R79" s="246">
        <v>-1</v>
      </c>
      <c r="S79" s="246">
        <v>-1</v>
      </c>
      <c r="T79" s="246">
        <v>-1</v>
      </c>
      <c r="U79" s="246">
        <v>-1</v>
      </c>
      <c r="V79" s="246">
        <v>-1</v>
      </c>
      <c r="W79" s="246">
        <v>-1</v>
      </c>
      <c r="X79" s="246">
        <v>-1</v>
      </c>
      <c r="Y79" s="246">
        <v>-1</v>
      </c>
    </row>
    <row r="80" spans="5:27" x14ac:dyDescent="0.25">
      <c r="E80" s="29"/>
      <c r="F80" t="s">
        <v>197</v>
      </c>
      <c r="G80" t="s">
        <v>190</v>
      </c>
      <c r="J80" s="246">
        <v>1</v>
      </c>
      <c r="K80" s="246">
        <v>1</v>
      </c>
      <c r="L80" s="246">
        <v>1</v>
      </c>
      <c r="M80" s="246">
        <v>1</v>
      </c>
      <c r="N80" s="246">
        <v>1</v>
      </c>
      <c r="O80" s="246">
        <v>1</v>
      </c>
      <c r="P80" s="246">
        <v>1</v>
      </c>
      <c r="Q80" s="246">
        <v>1</v>
      </c>
      <c r="R80" s="246">
        <v>-1</v>
      </c>
      <c r="S80" s="246">
        <v>-1</v>
      </c>
      <c r="T80" s="246">
        <v>-1</v>
      </c>
      <c r="U80" s="246">
        <v>-1</v>
      </c>
      <c r="V80" s="246">
        <v>-1</v>
      </c>
      <c r="W80" s="246">
        <v>-1</v>
      </c>
      <c r="X80" s="246">
        <v>0</v>
      </c>
      <c r="Y80" s="246">
        <v>0</v>
      </c>
    </row>
    <row r="81" spans="3:27" x14ac:dyDescent="0.25">
      <c r="E81" s="29"/>
      <c r="F81" t="s">
        <v>198</v>
      </c>
      <c r="G81" t="s">
        <v>190</v>
      </c>
      <c r="J81" s="246">
        <v>1</v>
      </c>
      <c r="K81" s="246">
        <v>1</v>
      </c>
      <c r="L81" s="246">
        <v>1</v>
      </c>
      <c r="M81" s="246">
        <v>1</v>
      </c>
      <c r="N81" s="246">
        <v>1</v>
      </c>
      <c r="O81" s="246">
        <v>1</v>
      </c>
      <c r="P81" s="246">
        <v>0</v>
      </c>
      <c r="Q81" s="246">
        <v>1</v>
      </c>
      <c r="R81" s="246">
        <v>-1</v>
      </c>
      <c r="S81" s="246">
        <v>0</v>
      </c>
      <c r="T81" s="246">
        <v>-1</v>
      </c>
      <c r="U81" s="246">
        <v>-1</v>
      </c>
      <c r="V81" s="246">
        <v>0</v>
      </c>
      <c r="W81" s="246">
        <v>0</v>
      </c>
      <c r="X81" s="246">
        <v>0</v>
      </c>
      <c r="Y81" s="246">
        <v>0</v>
      </c>
    </row>
    <row r="82" spans="3:27" x14ac:dyDescent="0.25">
      <c r="E82" s="29"/>
      <c r="F82" s="37" t="s">
        <v>199</v>
      </c>
      <c r="G82" s="37" t="s">
        <v>190</v>
      </c>
      <c r="H82" s="37"/>
      <c r="I82" s="37"/>
      <c r="J82" s="251">
        <v>1</v>
      </c>
      <c r="K82" s="251">
        <v>1</v>
      </c>
      <c r="L82" s="251">
        <v>1</v>
      </c>
      <c r="M82" s="251">
        <v>1</v>
      </c>
      <c r="N82" s="251">
        <v>1</v>
      </c>
      <c r="O82" s="251">
        <v>0</v>
      </c>
      <c r="P82" s="251">
        <v>0</v>
      </c>
      <c r="Q82" s="251">
        <v>1</v>
      </c>
      <c r="R82" s="251">
        <v>0</v>
      </c>
      <c r="S82" s="251">
        <v>0</v>
      </c>
      <c r="T82" s="251">
        <v>0</v>
      </c>
      <c r="U82" s="251">
        <v>0</v>
      </c>
      <c r="V82" s="251">
        <v>0</v>
      </c>
      <c r="W82" s="251">
        <v>0</v>
      </c>
      <c r="X82" s="251">
        <v>0</v>
      </c>
      <c r="Y82" s="251">
        <v>0</v>
      </c>
    </row>
    <row r="84" spans="3:27" x14ac:dyDescent="0.25">
      <c r="C84" s="31" t="str">
        <f ca="1">INDEX('Version control'!$H$34:$H$57,MATCH($A$1,'Version control'!$F$34:$F$57,0),1)&amp;"-E: Standing charge factors"</f>
        <v>Input 101-E: Standing charge factors</v>
      </c>
      <c r="D84" s="31"/>
      <c r="E84" s="31"/>
      <c r="F84" s="31"/>
      <c r="G84" s="31"/>
      <c r="H84" s="31"/>
      <c r="I84" s="31"/>
      <c r="J84" s="31"/>
      <c r="K84" s="31"/>
      <c r="L84" s="31"/>
      <c r="M84" s="31"/>
      <c r="N84" s="31"/>
      <c r="O84" s="31"/>
      <c r="P84" s="31"/>
      <c r="Q84" s="31"/>
      <c r="R84" s="31"/>
      <c r="S84" s="31"/>
      <c r="T84" s="31"/>
      <c r="U84" s="31"/>
      <c r="V84" s="31"/>
      <c r="W84" s="31"/>
      <c r="X84" s="31"/>
      <c r="Y84" s="31"/>
      <c r="Z84" s="31"/>
      <c r="AA84" s="31"/>
    </row>
    <row r="86" spans="3:27" x14ac:dyDescent="0.25">
      <c r="E86" s="32" t="s">
        <v>120</v>
      </c>
      <c r="F86" s="32"/>
      <c r="I86" t="s">
        <v>154</v>
      </c>
      <c r="AA86" t="s">
        <v>203</v>
      </c>
    </row>
    <row r="87" spans="3:27" x14ac:dyDescent="0.25">
      <c r="E87" s="29" t="s">
        <v>1023</v>
      </c>
      <c r="F87" s="29"/>
    </row>
    <row r="88" spans="3:27" x14ac:dyDescent="0.25">
      <c r="E88" s="29"/>
      <c r="F88" s="23" t="s">
        <v>189</v>
      </c>
      <c r="G88" s="23" t="s">
        <v>167</v>
      </c>
      <c r="H88" s="23"/>
      <c r="I88" s="23"/>
      <c r="J88" s="65"/>
      <c r="K88" s="65"/>
      <c r="L88" s="65"/>
      <c r="M88" s="65"/>
      <c r="N88" s="65"/>
      <c r="O88" s="65"/>
      <c r="P88" s="65"/>
      <c r="Q88" s="65"/>
      <c r="R88" s="65"/>
      <c r="S88" s="65"/>
      <c r="T88" s="65"/>
      <c r="U88" s="65"/>
      <c r="V88" s="65"/>
      <c r="W88" s="65"/>
      <c r="X88" s="65"/>
      <c r="Y88" s="65"/>
    </row>
    <row r="89" spans="3:27" x14ac:dyDescent="0.25">
      <c r="E89" s="29"/>
      <c r="F89" t="s">
        <v>191</v>
      </c>
      <c r="G89" t="s">
        <v>167</v>
      </c>
      <c r="J89" s="66"/>
      <c r="K89" s="66"/>
      <c r="L89" s="66"/>
      <c r="M89" s="66"/>
      <c r="N89" s="66"/>
      <c r="O89" s="66"/>
      <c r="P89" s="66"/>
      <c r="Q89" s="66"/>
      <c r="R89" s="66"/>
      <c r="S89" s="66"/>
      <c r="T89" s="66"/>
      <c r="U89" s="66"/>
      <c r="V89" s="66"/>
      <c r="W89" s="66"/>
      <c r="X89" s="66"/>
      <c r="Y89" s="66"/>
    </row>
    <row r="90" spans="3:27" x14ac:dyDescent="0.25">
      <c r="E90" s="29"/>
      <c r="F90" t="s">
        <v>192</v>
      </c>
      <c r="G90" t="s">
        <v>167</v>
      </c>
      <c r="J90" s="70"/>
      <c r="K90" s="70"/>
      <c r="L90" s="70"/>
      <c r="M90" s="70"/>
      <c r="N90" s="70"/>
      <c r="O90" s="70"/>
      <c r="P90" s="70"/>
      <c r="Q90" s="70"/>
      <c r="R90" s="66"/>
      <c r="S90" s="66"/>
      <c r="T90" s="66"/>
      <c r="U90" s="66"/>
      <c r="V90" s="66"/>
      <c r="W90" s="66"/>
      <c r="X90" s="66"/>
      <c r="Y90" s="66"/>
    </row>
    <row r="91" spans="3:27" x14ac:dyDescent="0.25">
      <c r="E91" s="29"/>
      <c r="F91" t="s">
        <v>193</v>
      </c>
      <c r="G91" t="s">
        <v>167</v>
      </c>
      <c r="J91" s="70"/>
      <c r="K91" s="70"/>
      <c r="L91" s="70"/>
      <c r="M91" s="70"/>
      <c r="N91" s="70"/>
      <c r="O91" s="70"/>
      <c r="P91" s="70"/>
      <c r="Q91" s="70"/>
      <c r="R91" s="66"/>
      <c r="S91" s="66"/>
      <c r="T91" s="66"/>
      <c r="U91" s="66"/>
      <c r="V91" s="66"/>
      <c r="W91" s="66"/>
      <c r="X91" s="66"/>
      <c r="Y91" s="66"/>
    </row>
    <row r="92" spans="3:27" x14ac:dyDescent="0.25">
      <c r="E92" s="29"/>
      <c r="F92" t="s">
        <v>194</v>
      </c>
      <c r="G92" t="s">
        <v>167</v>
      </c>
      <c r="J92" s="70"/>
      <c r="K92" s="70"/>
      <c r="L92" s="70"/>
      <c r="M92" s="70"/>
      <c r="N92" s="70"/>
      <c r="O92" s="70"/>
      <c r="P92" s="252">
        <v>0.2</v>
      </c>
      <c r="Q92" s="70"/>
      <c r="R92" s="66"/>
      <c r="S92" s="66"/>
      <c r="T92" s="66"/>
      <c r="U92" s="66"/>
      <c r="V92" s="66"/>
      <c r="W92" s="66"/>
      <c r="X92" s="66"/>
      <c r="Y92" s="66"/>
    </row>
    <row r="93" spans="3:27" x14ac:dyDescent="0.25">
      <c r="E93" s="29"/>
      <c r="F93" t="s">
        <v>195</v>
      </c>
      <c r="G93" t="s">
        <v>167</v>
      </c>
      <c r="J93" s="70"/>
      <c r="K93" s="70"/>
      <c r="L93" s="70"/>
      <c r="M93" s="70"/>
      <c r="N93" s="70"/>
      <c r="O93" s="70"/>
      <c r="P93" s="252">
        <v>1</v>
      </c>
      <c r="Q93" s="70"/>
      <c r="R93" s="66"/>
      <c r="S93" s="66"/>
      <c r="T93" s="66"/>
      <c r="U93" s="66"/>
      <c r="V93" s="66"/>
      <c r="W93" s="66"/>
      <c r="X93" s="66"/>
      <c r="Y93" s="66"/>
    </row>
    <row r="94" spans="3:27" x14ac:dyDescent="0.25">
      <c r="E94" s="29"/>
      <c r="F94" t="s">
        <v>196</v>
      </c>
      <c r="G94" t="s">
        <v>167</v>
      </c>
      <c r="J94" s="70"/>
      <c r="K94" s="70"/>
      <c r="L94" s="70"/>
      <c r="M94" s="70"/>
      <c r="N94" s="70"/>
      <c r="O94" s="70"/>
      <c r="P94" s="70"/>
      <c r="Q94" s="70"/>
      <c r="R94" s="66"/>
      <c r="S94" s="66"/>
      <c r="T94" s="66"/>
      <c r="U94" s="66"/>
      <c r="V94" s="66"/>
      <c r="W94" s="66"/>
      <c r="X94" s="66"/>
      <c r="Y94" s="66"/>
    </row>
    <row r="95" spans="3:27" x14ac:dyDescent="0.25">
      <c r="E95" s="29"/>
      <c r="F95" t="s">
        <v>197</v>
      </c>
      <c r="G95" t="s">
        <v>167</v>
      </c>
      <c r="J95" s="70"/>
      <c r="K95" s="70"/>
      <c r="L95" s="70"/>
      <c r="M95" s="70"/>
      <c r="N95" s="252">
        <v>0.2</v>
      </c>
      <c r="O95" s="252">
        <v>1</v>
      </c>
      <c r="P95" s="252">
        <v>1</v>
      </c>
      <c r="Q95" s="70"/>
      <c r="R95" s="66"/>
      <c r="S95" s="66"/>
      <c r="T95" s="66"/>
      <c r="U95" s="66"/>
      <c r="V95" s="66"/>
      <c r="W95" s="66"/>
      <c r="X95" s="66"/>
      <c r="Y95" s="66"/>
    </row>
    <row r="96" spans="3:27" x14ac:dyDescent="0.25">
      <c r="E96" s="29"/>
      <c r="F96" t="s">
        <v>198</v>
      </c>
      <c r="G96" t="s">
        <v>167</v>
      </c>
      <c r="J96" s="70"/>
      <c r="K96" s="70"/>
      <c r="L96" s="70"/>
      <c r="M96" s="70"/>
      <c r="N96" s="252">
        <v>1</v>
      </c>
      <c r="O96" s="252">
        <v>1</v>
      </c>
      <c r="P96" s="70"/>
      <c r="Q96" s="70"/>
      <c r="R96" s="66"/>
      <c r="S96" s="66"/>
      <c r="T96" s="66"/>
      <c r="U96" s="66"/>
      <c r="V96" s="66"/>
      <c r="W96" s="66"/>
      <c r="X96" s="66"/>
      <c r="Y96" s="66"/>
    </row>
    <row r="97" spans="3:27" x14ac:dyDescent="0.25">
      <c r="E97" s="29"/>
      <c r="F97" s="37" t="s">
        <v>199</v>
      </c>
      <c r="G97" s="37" t="s">
        <v>167</v>
      </c>
      <c r="H97" s="37"/>
      <c r="I97" s="37"/>
      <c r="J97" s="253">
        <v>1</v>
      </c>
      <c r="K97" s="253">
        <v>1</v>
      </c>
      <c r="L97" s="253">
        <v>1</v>
      </c>
      <c r="M97" s="253">
        <v>1</v>
      </c>
      <c r="N97" s="253">
        <v>1</v>
      </c>
      <c r="O97" s="71"/>
      <c r="P97" s="71"/>
      <c r="Q97" s="253">
        <v>0</v>
      </c>
      <c r="R97" s="68"/>
      <c r="S97" s="68"/>
      <c r="T97" s="68"/>
      <c r="U97" s="68"/>
      <c r="V97" s="68"/>
      <c r="W97" s="68"/>
      <c r="X97" s="68"/>
      <c r="Y97" s="68"/>
    </row>
    <row r="99" spans="3:27" x14ac:dyDescent="0.25">
      <c r="C99" s="31" t="str">
        <f ca="1">INDEX('Version control'!$H$34:$H$57,MATCH($A$1,'Version control'!$F$34:$F$57,0),1)&amp;"-F: Flags"</f>
        <v>Input 101-F: Flags</v>
      </c>
      <c r="D99" s="31"/>
      <c r="E99" s="31"/>
      <c r="F99" s="31"/>
      <c r="G99" s="31"/>
      <c r="H99" s="31"/>
      <c r="I99" s="31"/>
      <c r="J99" s="31"/>
      <c r="K99" s="31"/>
      <c r="L99" s="31"/>
      <c r="M99" s="31"/>
      <c r="N99" s="31"/>
      <c r="O99" s="31"/>
      <c r="P99" s="31"/>
      <c r="Q99" s="31"/>
      <c r="R99" s="31"/>
      <c r="S99" s="31"/>
      <c r="T99" s="31"/>
      <c r="U99" s="31"/>
      <c r="V99" s="31"/>
      <c r="W99" s="31"/>
      <c r="X99" s="31"/>
      <c r="Y99" s="31"/>
      <c r="Z99" s="31"/>
      <c r="AA99" s="31"/>
    </row>
    <row r="101" spans="3:27" x14ac:dyDescent="0.25">
      <c r="D101" s="32" t="s">
        <v>204</v>
      </c>
      <c r="E101" s="32"/>
    </row>
    <row r="102" spans="3:27" x14ac:dyDescent="0.25">
      <c r="D102" s="29" t="s">
        <v>205</v>
      </c>
      <c r="E102" s="29"/>
    </row>
    <row r="103" spans="3:27" x14ac:dyDescent="0.25">
      <c r="D103" s="29" t="s">
        <v>206</v>
      </c>
      <c r="E103" s="29"/>
    </row>
    <row r="104" spans="3:27" x14ac:dyDescent="0.25">
      <c r="D104" s="29"/>
      <c r="E104" s="32" t="s">
        <v>207</v>
      </c>
    </row>
    <row r="105" spans="3:27" x14ac:dyDescent="0.25">
      <c r="D105" s="29"/>
      <c r="F105" s="28" t="s">
        <v>208</v>
      </c>
      <c r="G105" t="s">
        <v>209</v>
      </c>
      <c r="I105" t="s">
        <v>154</v>
      </c>
      <c r="J105" s="254" t="b">
        <v>0</v>
      </c>
      <c r="K105" s="254" t="b">
        <v>0</v>
      </c>
      <c r="L105" s="254" t="b">
        <v>0</v>
      </c>
      <c r="M105" s="254" t="b">
        <v>0</v>
      </c>
      <c r="N105" s="254" t="b">
        <v>0</v>
      </c>
      <c r="O105" s="254" t="b">
        <v>0</v>
      </c>
      <c r="P105" s="254" t="b">
        <v>0</v>
      </c>
      <c r="Q105" s="254" t="b">
        <v>0</v>
      </c>
      <c r="R105" s="254" t="b">
        <v>1</v>
      </c>
      <c r="S105" s="254" t="b">
        <v>1</v>
      </c>
      <c r="T105" s="254" t="b">
        <v>1</v>
      </c>
      <c r="U105" s="254" t="b">
        <v>1</v>
      </c>
      <c r="V105" s="254" t="b">
        <v>1</v>
      </c>
      <c r="W105" s="254" t="b">
        <v>1</v>
      </c>
      <c r="X105" s="254" t="b">
        <v>1</v>
      </c>
      <c r="Y105" s="254" t="b">
        <v>1</v>
      </c>
      <c r="AA105" t="s">
        <v>210</v>
      </c>
    </row>
    <row r="106" spans="3:27" x14ac:dyDescent="0.25">
      <c r="D106" s="29"/>
      <c r="E106" s="28"/>
      <c r="F106" s="28" t="s">
        <v>211</v>
      </c>
      <c r="G106" t="s">
        <v>167</v>
      </c>
      <c r="J106" s="70"/>
      <c r="K106" s="70"/>
      <c r="L106" s="70"/>
      <c r="M106" s="70"/>
      <c r="N106" s="70"/>
      <c r="O106" s="70"/>
      <c r="P106" s="70"/>
      <c r="Q106" s="70"/>
      <c r="R106" s="255">
        <v>0</v>
      </c>
      <c r="S106" s="255">
        <v>0</v>
      </c>
      <c r="T106" s="255">
        <v>0</v>
      </c>
      <c r="U106" s="255">
        <v>0</v>
      </c>
      <c r="V106" s="255">
        <v>0</v>
      </c>
      <c r="W106" s="255">
        <v>0</v>
      </c>
      <c r="X106" s="255">
        <v>0</v>
      </c>
      <c r="Y106" s="255">
        <v>0</v>
      </c>
    </row>
    <row r="107" spans="3:27" x14ac:dyDescent="0.25">
      <c r="D107" s="29"/>
      <c r="E107" s="28"/>
      <c r="F107" s="28"/>
      <c r="J107" s="14"/>
      <c r="K107" s="14"/>
      <c r="L107" s="14"/>
      <c r="M107" s="14"/>
      <c r="N107" s="14"/>
      <c r="O107" s="14"/>
      <c r="P107" s="14"/>
      <c r="Q107" s="14"/>
      <c r="R107" s="14"/>
      <c r="S107" s="14"/>
      <c r="T107" s="14"/>
      <c r="U107" s="14"/>
      <c r="V107" s="14"/>
      <c r="W107" s="14"/>
      <c r="X107" s="14"/>
      <c r="Y107" s="14"/>
    </row>
    <row r="108" spans="3:27" x14ac:dyDescent="0.25">
      <c r="D108" s="29"/>
      <c r="E108" s="32" t="s">
        <v>212</v>
      </c>
      <c r="F108" s="28"/>
      <c r="J108" s="14"/>
      <c r="K108" s="14"/>
      <c r="L108" s="14"/>
      <c r="M108" s="14"/>
      <c r="N108" s="14"/>
      <c r="O108" s="14"/>
      <c r="P108" s="14"/>
      <c r="Q108" s="14"/>
      <c r="R108" s="14"/>
      <c r="S108" s="14"/>
      <c r="T108" s="14"/>
      <c r="U108" s="14"/>
      <c r="V108" s="14"/>
      <c r="W108" s="14"/>
      <c r="X108" s="14"/>
      <c r="Y108" s="14"/>
    </row>
    <row r="109" spans="3:27" x14ac:dyDescent="0.25">
      <c r="D109" s="29"/>
      <c r="F109" s="28" t="s">
        <v>208</v>
      </c>
      <c r="G109" t="s">
        <v>209</v>
      </c>
      <c r="J109" s="254" t="b">
        <v>0</v>
      </c>
      <c r="K109" s="254" t="b">
        <v>0</v>
      </c>
      <c r="L109" s="254" t="b">
        <v>0</v>
      </c>
      <c r="M109" s="254" t="b">
        <v>0</v>
      </c>
      <c r="N109" s="254" t="b">
        <v>0</v>
      </c>
      <c r="O109" s="254" t="b">
        <v>0</v>
      </c>
      <c r="P109" s="254" t="b">
        <v>0</v>
      </c>
      <c r="Q109" s="254" t="b">
        <v>0</v>
      </c>
      <c r="R109" s="254" t="b">
        <v>1</v>
      </c>
      <c r="S109" s="254" t="b">
        <v>1</v>
      </c>
      <c r="T109" s="254" t="b">
        <v>1</v>
      </c>
      <c r="U109" s="254" t="b">
        <v>1</v>
      </c>
      <c r="V109" s="254" t="b">
        <v>1</v>
      </c>
      <c r="W109" s="254" t="b">
        <v>1</v>
      </c>
      <c r="X109" s="254" t="b">
        <v>1</v>
      </c>
      <c r="Y109" s="254" t="b">
        <v>1</v>
      </c>
    </row>
    <row r="110" spans="3:27" x14ac:dyDescent="0.25">
      <c r="D110" s="29"/>
      <c r="E110" s="28"/>
      <c r="F110" s="28" t="s">
        <v>211</v>
      </c>
      <c r="G110" t="s">
        <v>167</v>
      </c>
      <c r="J110" s="70"/>
      <c r="K110" s="70"/>
      <c r="L110" s="70"/>
      <c r="M110" s="70"/>
      <c r="N110" s="70"/>
      <c r="O110" s="70"/>
      <c r="P110" s="70"/>
      <c r="Q110" s="70"/>
      <c r="R110" s="255">
        <v>1</v>
      </c>
      <c r="S110" s="255">
        <v>1</v>
      </c>
      <c r="T110" s="255">
        <v>1</v>
      </c>
      <c r="U110" s="255">
        <v>1</v>
      </c>
      <c r="V110" s="255">
        <v>1</v>
      </c>
      <c r="W110" s="255">
        <v>1</v>
      </c>
      <c r="X110" s="255">
        <v>1</v>
      </c>
      <c r="Y110" s="255">
        <v>1</v>
      </c>
    </row>
    <row r="111" spans="3:27" x14ac:dyDescent="0.25">
      <c r="D111" s="29"/>
      <c r="E111" s="28"/>
      <c r="F111" s="28"/>
      <c r="J111" s="14"/>
      <c r="K111" s="14"/>
      <c r="L111" s="14"/>
      <c r="M111" s="14"/>
      <c r="N111" s="14"/>
      <c r="O111" s="14"/>
      <c r="P111" s="14"/>
      <c r="Q111" s="14"/>
      <c r="R111" s="14"/>
      <c r="S111" s="14"/>
      <c r="T111" s="14"/>
      <c r="U111" s="14"/>
      <c r="V111" s="14"/>
      <c r="W111" s="14"/>
      <c r="X111" s="14"/>
      <c r="Y111" s="14"/>
    </row>
    <row r="112" spans="3:27" x14ac:dyDescent="0.25">
      <c r="D112" s="29"/>
      <c r="E112" s="32" t="s">
        <v>213</v>
      </c>
      <c r="F112" s="28"/>
      <c r="J112" s="14"/>
      <c r="K112" s="14"/>
      <c r="L112" s="14"/>
      <c r="M112" s="14"/>
      <c r="N112" s="14"/>
      <c r="O112" s="14"/>
      <c r="P112" s="14"/>
      <c r="Q112" s="14"/>
      <c r="R112" s="14"/>
      <c r="S112" s="14"/>
      <c r="T112" s="14"/>
      <c r="U112" s="14"/>
      <c r="V112" s="14"/>
      <c r="W112" s="14"/>
      <c r="X112" s="14"/>
      <c r="Y112" s="14"/>
    </row>
    <row r="113" spans="4:25" x14ac:dyDescent="0.25">
      <c r="D113" s="29"/>
      <c r="F113" s="28" t="s">
        <v>208</v>
      </c>
      <c r="G113" t="s">
        <v>209</v>
      </c>
      <c r="J113" s="254" t="b">
        <v>0</v>
      </c>
      <c r="K113" s="254" t="b">
        <v>0</v>
      </c>
      <c r="L113" s="254" t="b">
        <v>0</v>
      </c>
      <c r="M113" s="254" t="b">
        <v>0</v>
      </c>
      <c r="N113" s="254" t="b">
        <v>0</v>
      </c>
      <c r="O113" s="254" t="b">
        <v>0</v>
      </c>
      <c r="P113" s="254" t="b">
        <v>0</v>
      </c>
      <c r="Q113" s="254" t="b">
        <v>0</v>
      </c>
      <c r="R113" s="254" t="b">
        <v>1</v>
      </c>
      <c r="S113" s="254" t="b">
        <v>1</v>
      </c>
      <c r="T113" s="254" t="b">
        <v>1</v>
      </c>
      <c r="U113" s="254" t="b">
        <v>1</v>
      </c>
      <c r="V113" s="254" t="b">
        <v>1</v>
      </c>
      <c r="W113" s="254" t="b">
        <v>1</v>
      </c>
      <c r="X113" s="254" t="b">
        <v>1</v>
      </c>
      <c r="Y113" s="254" t="b">
        <v>1</v>
      </c>
    </row>
    <row r="114" spans="4:25" x14ac:dyDescent="0.25">
      <c r="D114" s="29"/>
      <c r="E114" s="28"/>
      <c r="F114" s="28" t="s">
        <v>211</v>
      </c>
      <c r="G114" t="s">
        <v>167</v>
      </c>
      <c r="J114" s="70"/>
      <c r="K114" s="70"/>
      <c r="L114" s="70"/>
      <c r="M114" s="70"/>
      <c r="N114" s="70"/>
      <c r="O114" s="70"/>
      <c r="P114" s="70"/>
      <c r="Q114" s="70"/>
      <c r="R114" s="255">
        <v>0</v>
      </c>
      <c r="S114" s="255">
        <v>0</v>
      </c>
      <c r="T114" s="255">
        <v>0</v>
      </c>
      <c r="U114" s="255">
        <v>0</v>
      </c>
      <c r="V114" s="255">
        <v>0</v>
      </c>
      <c r="W114" s="255">
        <v>0</v>
      </c>
      <c r="X114" s="255">
        <v>0</v>
      </c>
      <c r="Y114" s="255">
        <v>0</v>
      </c>
    </row>
    <row r="115" spans="4:25" x14ac:dyDescent="0.25">
      <c r="D115" s="29"/>
      <c r="E115" s="28"/>
      <c r="F115" s="28"/>
      <c r="J115" s="14"/>
      <c r="K115" s="14"/>
      <c r="L115" s="14"/>
      <c r="M115" s="14"/>
      <c r="N115" s="14"/>
      <c r="O115" s="14"/>
      <c r="P115" s="14"/>
      <c r="Q115" s="14"/>
      <c r="R115" s="14"/>
      <c r="S115" s="14"/>
      <c r="T115" s="14"/>
      <c r="U115" s="14"/>
      <c r="V115" s="14"/>
      <c r="W115" s="14"/>
      <c r="X115" s="14"/>
      <c r="Y115" s="14"/>
    </row>
    <row r="116" spans="4:25" x14ac:dyDescent="0.25">
      <c r="D116" s="29"/>
      <c r="E116" s="32" t="s">
        <v>214</v>
      </c>
      <c r="F116" s="28"/>
      <c r="J116" s="14"/>
      <c r="K116" s="14"/>
      <c r="L116" s="14"/>
      <c r="M116" s="14"/>
      <c r="N116" s="14"/>
      <c r="O116" s="14"/>
      <c r="P116" s="14"/>
      <c r="Q116" s="14"/>
      <c r="R116" s="14"/>
      <c r="S116" s="14"/>
      <c r="T116" s="14"/>
      <c r="U116" s="14"/>
      <c r="V116" s="14"/>
      <c r="W116" s="14"/>
      <c r="X116" s="14"/>
      <c r="Y116" s="14"/>
    </row>
    <row r="117" spans="4:25" x14ac:dyDescent="0.25">
      <c r="D117" s="29"/>
      <c r="F117" s="28" t="s">
        <v>208</v>
      </c>
      <c r="G117" t="s">
        <v>209</v>
      </c>
      <c r="J117" s="254" t="b">
        <v>0</v>
      </c>
      <c r="K117" s="254" t="b">
        <v>0</v>
      </c>
      <c r="L117" s="254" t="b">
        <v>0</v>
      </c>
      <c r="M117" s="254" t="b">
        <v>0</v>
      </c>
      <c r="N117" s="254" t="b">
        <v>0</v>
      </c>
      <c r="O117" s="254" t="b">
        <v>0</v>
      </c>
      <c r="P117" s="254" t="b">
        <v>0</v>
      </c>
      <c r="Q117" s="254" t="b">
        <v>0</v>
      </c>
      <c r="R117" s="254" t="b">
        <v>1</v>
      </c>
      <c r="S117" s="254" t="b">
        <v>1</v>
      </c>
      <c r="T117" s="254" t="b">
        <v>1</v>
      </c>
      <c r="U117" s="254" t="b">
        <v>1</v>
      </c>
      <c r="V117" s="254" t="b">
        <v>1</v>
      </c>
      <c r="W117" s="254" t="b">
        <v>1</v>
      </c>
      <c r="X117" s="254" t="b">
        <v>1</v>
      </c>
      <c r="Y117" s="254" t="b">
        <v>1</v>
      </c>
    </row>
    <row r="118" spans="4:25" x14ac:dyDescent="0.25">
      <c r="D118" s="29"/>
      <c r="E118" s="28"/>
      <c r="F118" s="28" t="s">
        <v>211</v>
      </c>
      <c r="G118" t="s">
        <v>167</v>
      </c>
      <c r="J118" s="70"/>
      <c r="K118" s="70"/>
      <c r="L118" s="70"/>
      <c r="M118" s="70"/>
      <c r="N118" s="70"/>
      <c r="O118" s="70"/>
      <c r="P118" s="70"/>
      <c r="Q118" s="70"/>
      <c r="R118" s="255">
        <v>0</v>
      </c>
      <c r="S118" s="255">
        <v>0</v>
      </c>
      <c r="T118" s="255">
        <v>0</v>
      </c>
      <c r="U118" s="255">
        <v>0</v>
      </c>
      <c r="V118" s="255">
        <v>0</v>
      </c>
      <c r="W118" s="255">
        <v>0</v>
      </c>
      <c r="X118" s="255">
        <v>0</v>
      </c>
      <c r="Y118" s="255">
        <v>0</v>
      </c>
    </row>
    <row r="119" spans="4:25" x14ac:dyDescent="0.25">
      <c r="D119" s="29"/>
      <c r="E119" s="28"/>
      <c r="F119" s="28"/>
      <c r="J119" s="14"/>
      <c r="K119" s="14"/>
      <c r="L119" s="14"/>
      <c r="M119" s="14"/>
      <c r="N119" s="14"/>
      <c r="O119" s="14"/>
      <c r="P119" s="14"/>
      <c r="Q119" s="14"/>
      <c r="R119" s="14"/>
      <c r="S119" s="14"/>
      <c r="T119" s="14"/>
      <c r="U119" s="14"/>
      <c r="V119" s="14"/>
      <c r="W119" s="14"/>
      <c r="X119" s="14"/>
      <c r="Y119" s="14"/>
    </row>
    <row r="120" spans="4:25" x14ac:dyDescent="0.25">
      <c r="D120" s="29"/>
      <c r="E120" s="32" t="s">
        <v>215</v>
      </c>
      <c r="F120" s="28"/>
      <c r="J120" s="14"/>
      <c r="K120" s="14"/>
      <c r="L120" s="14"/>
      <c r="M120" s="14"/>
      <c r="N120" s="14"/>
      <c r="O120" s="14"/>
      <c r="P120" s="14"/>
      <c r="Q120" s="14"/>
      <c r="R120" s="14"/>
      <c r="S120" s="14"/>
      <c r="T120" s="14"/>
      <c r="U120" s="14"/>
      <c r="V120" s="14"/>
      <c r="W120" s="14"/>
      <c r="X120" s="14"/>
      <c r="Y120" s="14"/>
    </row>
    <row r="121" spans="4:25" x14ac:dyDescent="0.25">
      <c r="D121" s="29"/>
      <c r="F121" s="28" t="s">
        <v>208</v>
      </c>
      <c r="G121" t="s">
        <v>209</v>
      </c>
      <c r="J121" s="254" t="b">
        <v>0</v>
      </c>
      <c r="K121" s="254" t="b">
        <v>0</v>
      </c>
      <c r="L121" s="254" t="b">
        <v>0</v>
      </c>
      <c r="M121" s="254" t="b">
        <v>0</v>
      </c>
      <c r="N121" s="254" t="b">
        <v>0</v>
      </c>
      <c r="O121" s="254" t="b">
        <v>0</v>
      </c>
      <c r="P121" s="254" t="b">
        <v>0</v>
      </c>
      <c r="Q121" s="254" t="b">
        <v>0</v>
      </c>
      <c r="R121" s="254" t="b">
        <v>1</v>
      </c>
      <c r="S121" s="254" t="b">
        <v>1</v>
      </c>
      <c r="T121" s="254" t="b">
        <v>1</v>
      </c>
      <c r="U121" s="254" t="b">
        <v>1</v>
      </c>
      <c r="V121" s="254" t="b">
        <v>1</v>
      </c>
      <c r="W121" s="254" t="b">
        <v>1</v>
      </c>
      <c r="X121" s="254" t="b">
        <v>1</v>
      </c>
      <c r="Y121" s="254" t="b">
        <v>1</v>
      </c>
    </row>
    <row r="122" spans="4:25" x14ac:dyDescent="0.25">
      <c r="D122" s="29"/>
      <c r="E122" s="28"/>
      <c r="F122" s="28" t="s">
        <v>211</v>
      </c>
      <c r="G122" t="s">
        <v>167</v>
      </c>
      <c r="J122" s="70"/>
      <c r="K122" s="70"/>
      <c r="L122" s="70"/>
      <c r="M122" s="70"/>
      <c r="N122" s="70"/>
      <c r="O122" s="70"/>
      <c r="P122" s="70"/>
      <c r="Q122" s="70"/>
      <c r="R122" s="255">
        <v>0</v>
      </c>
      <c r="S122" s="255">
        <v>0</v>
      </c>
      <c r="T122" s="255">
        <v>0</v>
      </c>
      <c r="U122" s="255">
        <v>0</v>
      </c>
      <c r="V122" s="255">
        <v>0</v>
      </c>
      <c r="W122" s="255">
        <v>0</v>
      </c>
      <c r="X122" s="255">
        <v>0</v>
      </c>
      <c r="Y122" s="255">
        <v>0</v>
      </c>
    </row>
    <row r="123" spans="4:25" x14ac:dyDescent="0.25">
      <c r="D123" s="29"/>
      <c r="E123" s="29"/>
      <c r="J123" s="14"/>
      <c r="K123" s="14"/>
      <c r="L123" s="14"/>
      <c r="M123" s="14"/>
      <c r="N123" s="14"/>
      <c r="O123" s="14"/>
      <c r="P123" s="14"/>
      <c r="Q123" s="14"/>
      <c r="R123" s="14"/>
      <c r="S123" s="14"/>
      <c r="T123" s="14"/>
      <c r="U123" s="14"/>
      <c r="V123" s="14"/>
      <c r="W123" s="14"/>
      <c r="X123" s="14"/>
      <c r="Y123" s="14"/>
    </row>
    <row r="124" spans="4:25" x14ac:dyDescent="0.25">
      <c r="E124" s="32" t="s">
        <v>216</v>
      </c>
      <c r="J124" s="14"/>
      <c r="K124" s="14"/>
      <c r="L124" s="14"/>
      <c r="M124" s="14"/>
      <c r="N124" s="14"/>
      <c r="O124" s="14"/>
      <c r="P124" s="14"/>
      <c r="Q124" s="14"/>
      <c r="R124" s="14"/>
      <c r="S124" s="14"/>
      <c r="T124" s="14"/>
      <c r="U124" s="14"/>
      <c r="V124" s="14"/>
      <c r="W124" s="14"/>
      <c r="X124" s="14"/>
      <c r="Y124" s="14"/>
    </row>
    <row r="125" spans="4:25" x14ac:dyDescent="0.25">
      <c r="E125" s="29" t="s">
        <v>217</v>
      </c>
      <c r="J125" s="14"/>
      <c r="K125" s="14"/>
      <c r="L125" s="14"/>
      <c r="M125" s="14"/>
      <c r="N125" s="14"/>
      <c r="O125" s="14"/>
      <c r="P125" s="14"/>
      <c r="Q125" s="14"/>
      <c r="R125" s="14"/>
      <c r="S125" s="14"/>
      <c r="T125" s="14"/>
      <c r="U125" s="14"/>
      <c r="V125" s="14"/>
      <c r="W125" s="14"/>
      <c r="X125" s="14"/>
      <c r="Y125" s="14"/>
    </row>
    <row r="126" spans="4:25" x14ac:dyDescent="0.25">
      <c r="E126" s="29" t="s">
        <v>218</v>
      </c>
      <c r="J126" s="14"/>
      <c r="K126" s="14"/>
      <c r="L126" s="14"/>
      <c r="M126" s="14"/>
      <c r="N126" s="14"/>
      <c r="O126" s="14"/>
      <c r="P126" s="14"/>
      <c r="Q126" s="14"/>
      <c r="R126" s="14"/>
      <c r="S126" s="14"/>
      <c r="T126" s="14"/>
      <c r="U126" s="14"/>
      <c r="V126" s="14"/>
      <c r="W126" s="14"/>
      <c r="X126" s="14"/>
      <c r="Y126" s="14"/>
    </row>
    <row r="127" spans="4:25" x14ac:dyDescent="0.25">
      <c r="E127" s="29"/>
      <c r="F127" t="s">
        <v>216</v>
      </c>
      <c r="G127" t="s">
        <v>209</v>
      </c>
      <c r="J127" s="254" t="b">
        <v>0</v>
      </c>
      <c r="K127" s="254" t="b">
        <v>0</v>
      </c>
      <c r="L127" s="254" t="b">
        <v>0</v>
      </c>
      <c r="M127" s="254" t="b">
        <v>0</v>
      </c>
      <c r="N127" s="254" t="b">
        <v>0</v>
      </c>
      <c r="O127" s="254" t="b">
        <v>0</v>
      </c>
      <c r="P127" s="254" t="b">
        <v>0</v>
      </c>
      <c r="Q127" s="254" t="b">
        <v>1</v>
      </c>
      <c r="R127" s="254" t="b">
        <v>0</v>
      </c>
      <c r="S127" s="254" t="b">
        <v>0</v>
      </c>
      <c r="T127" s="254" t="b">
        <v>0</v>
      </c>
      <c r="U127" s="254" t="b">
        <v>0</v>
      </c>
      <c r="V127" s="254" t="b">
        <v>0</v>
      </c>
      <c r="W127" s="254" t="b">
        <v>0</v>
      </c>
      <c r="X127" s="254" t="b">
        <v>0</v>
      </c>
      <c r="Y127" s="254" t="b">
        <v>0</v>
      </c>
    </row>
    <row r="128" spans="4:25" x14ac:dyDescent="0.25">
      <c r="E128" s="29"/>
      <c r="J128" s="14"/>
      <c r="K128" s="14"/>
      <c r="L128" s="14"/>
      <c r="M128" s="14"/>
      <c r="N128" s="14"/>
      <c r="O128" s="14"/>
      <c r="P128" s="14"/>
      <c r="Q128" s="14"/>
      <c r="R128" s="14"/>
      <c r="S128" s="14"/>
      <c r="T128" s="14"/>
      <c r="U128" s="14"/>
      <c r="V128" s="14"/>
      <c r="W128" s="14"/>
      <c r="X128" s="14"/>
      <c r="Y128" s="14"/>
    </row>
    <row r="129" spans="3:27" x14ac:dyDescent="0.25">
      <c r="E129" s="32" t="s">
        <v>219</v>
      </c>
      <c r="J129" s="14"/>
      <c r="K129" s="14"/>
      <c r="L129" s="14"/>
      <c r="M129" s="14"/>
      <c r="N129" s="14"/>
      <c r="O129" s="14"/>
      <c r="P129" s="14"/>
      <c r="Q129" s="14"/>
      <c r="R129" s="14"/>
      <c r="S129" s="14"/>
      <c r="T129" s="14"/>
      <c r="U129" s="14"/>
      <c r="V129" s="14"/>
      <c r="W129" s="14"/>
      <c r="X129" s="14"/>
      <c r="Y129" s="14"/>
    </row>
    <row r="130" spans="3:27" x14ac:dyDescent="0.25">
      <c r="E130" s="29" t="s">
        <v>220</v>
      </c>
      <c r="J130" s="14"/>
      <c r="K130" s="14"/>
      <c r="L130" s="14"/>
      <c r="M130" s="14"/>
      <c r="N130" s="14"/>
      <c r="O130" s="14"/>
      <c r="P130" s="14"/>
      <c r="Q130" s="14"/>
      <c r="R130" s="14"/>
      <c r="S130" s="14"/>
      <c r="T130" s="14"/>
      <c r="U130" s="14"/>
      <c r="V130" s="14"/>
      <c r="W130" s="14"/>
      <c r="X130" s="14"/>
      <c r="Y130" s="14"/>
    </row>
    <row r="131" spans="3:27" x14ac:dyDescent="0.25">
      <c r="E131" s="29"/>
      <c r="F131" t="s">
        <v>221</v>
      </c>
      <c r="G131" t="s">
        <v>209</v>
      </c>
      <c r="J131" s="254" t="b">
        <v>1</v>
      </c>
      <c r="K131" s="254" t="b">
        <v>0</v>
      </c>
      <c r="L131" s="254" t="b">
        <v>1</v>
      </c>
      <c r="M131" s="254" t="b">
        <v>0</v>
      </c>
      <c r="N131" s="254" t="b">
        <v>1</v>
      </c>
      <c r="O131" s="254" t="b">
        <v>1</v>
      </c>
      <c r="P131" s="254" t="b">
        <v>1</v>
      </c>
      <c r="Q131" s="254" t="b">
        <v>1</v>
      </c>
      <c r="R131" s="254" t="b">
        <v>1</v>
      </c>
      <c r="S131" s="254" t="b">
        <v>1</v>
      </c>
      <c r="T131" s="254" t="b">
        <v>1</v>
      </c>
      <c r="U131" s="254" t="b">
        <v>1</v>
      </c>
      <c r="V131" s="254" t="b">
        <v>1</v>
      </c>
      <c r="W131" s="254" t="b">
        <v>1</v>
      </c>
      <c r="X131" s="254" t="b">
        <v>1</v>
      </c>
      <c r="Y131" s="254" t="b">
        <v>1</v>
      </c>
    </row>
    <row r="132" spans="3:27" x14ac:dyDescent="0.25">
      <c r="D132" s="29"/>
      <c r="J132" s="14"/>
      <c r="K132" s="14"/>
      <c r="L132" s="14"/>
      <c r="M132" s="14"/>
      <c r="N132" s="14"/>
      <c r="O132" s="14"/>
      <c r="P132" s="14"/>
      <c r="Q132" s="14"/>
      <c r="R132" s="14"/>
      <c r="S132" s="14"/>
      <c r="T132" s="14"/>
      <c r="U132" s="14"/>
      <c r="V132" s="14"/>
      <c r="W132" s="14"/>
      <c r="X132" s="14"/>
      <c r="Y132" s="14"/>
    </row>
    <row r="133" spans="3:27" x14ac:dyDescent="0.25">
      <c r="E133" s="32" t="s">
        <v>222</v>
      </c>
      <c r="I133" t="s">
        <v>154</v>
      </c>
      <c r="J133" s="14"/>
      <c r="K133" s="14"/>
      <c r="L133" s="14"/>
      <c r="M133" s="14"/>
      <c r="N133" s="14"/>
      <c r="O133" s="14"/>
      <c r="P133" s="14"/>
      <c r="Q133" s="14"/>
      <c r="R133" s="14"/>
      <c r="S133" s="14"/>
      <c r="T133" s="14"/>
      <c r="U133" s="14"/>
      <c r="V133" s="14"/>
      <c r="W133" s="14"/>
      <c r="X133" s="14"/>
      <c r="Y133" s="14"/>
      <c r="AA133" t="s">
        <v>223</v>
      </c>
    </row>
    <row r="134" spans="3:27" x14ac:dyDescent="0.25">
      <c r="E134" s="29" t="s">
        <v>224</v>
      </c>
      <c r="J134" s="14"/>
      <c r="K134" s="14"/>
      <c r="L134" s="14"/>
      <c r="M134" s="14"/>
      <c r="N134" s="14"/>
      <c r="O134" s="14"/>
      <c r="P134" s="14"/>
      <c r="Q134" s="14"/>
      <c r="R134" s="14"/>
      <c r="S134" s="14"/>
      <c r="T134" s="14"/>
      <c r="U134" s="14"/>
      <c r="V134" s="14"/>
      <c r="W134" s="14"/>
      <c r="X134" s="14"/>
      <c r="Y134" s="14"/>
    </row>
    <row r="135" spans="3:27" x14ac:dyDescent="0.25">
      <c r="E135" s="29" t="s">
        <v>225</v>
      </c>
      <c r="J135" s="14"/>
      <c r="K135" s="14"/>
      <c r="L135" s="14"/>
      <c r="M135" s="14"/>
      <c r="N135" s="14"/>
      <c r="O135" s="14"/>
      <c r="P135" s="14"/>
      <c r="Q135" s="14"/>
      <c r="R135" s="14"/>
      <c r="S135" s="14"/>
      <c r="T135" s="14"/>
      <c r="U135" s="14"/>
      <c r="V135" s="14"/>
      <c r="W135" s="14"/>
      <c r="X135" s="14"/>
      <c r="Y135" s="14"/>
    </row>
    <row r="136" spans="3:27" x14ac:dyDescent="0.25">
      <c r="E136" s="29"/>
      <c r="F136" t="s">
        <v>160</v>
      </c>
      <c r="G136" t="s">
        <v>176</v>
      </c>
      <c r="J136" s="254">
        <v>0</v>
      </c>
      <c r="K136" s="254">
        <v>0</v>
      </c>
      <c r="L136" s="254">
        <v>0</v>
      </c>
      <c r="M136" s="254">
        <v>0</v>
      </c>
      <c r="N136" s="254">
        <v>1</v>
      </c>
      <c r="O136" s="254">
        <v>1</v>
      </c>
      <c r="P136" s="254">
        <v>1</v>
      </c>
      <c r="Q136" s="254">
        <v>0</v>
      </c>
      <c r="R136" s="254">
        <v>0</v>
      </c>
      <c r="S136" s="254">
        <v>0</v>
      </c>
      <c r="T136" s="254">
        <v>0</v>
      </c>
      <c r="U136" s="254">
        <v>0</v>
      </c>
      <c r="V136" s="254">
        <v>0</v>
      </c>
      <c r="W136" s="254">
        <v>0</v>
      </c>
      <c r="X136" s="254">
        <v>0</v>
      </c>
      <c r="Y136" s="254">
        <v>0</v>
      </c>
    </row>
    <row r="137" spans="3:27" x14ac:dyDescent="0.25">
      <c r="E137" s="29"/>
      <c r="F137" t="s">
        <v>161</v>
      </c>
      <c r="G137" t="s">
        <v>176</v>
      </c>
      <c r="J137" s="254">
        <v>0</v>
      </c>
      <c r="K137" s="254">
        <v>0</v>
      </c>
      <c r="L137" s="254">
        <v>0</v>
      </c>
      <c r="M137" s="254">
        <v>0</v>
      </c>
      <c r="N137" s="254">
        <v>1</v>
      </c>
      <c r="O137" s="254">
        <v>1</v>
      </c>
      <c r="P137" s="254">
        <v>1</v>
      </c>
      <c r="Q137" s="254">
        <v>0</v>
      </c>
      <c r="R137" s="254">
        <v>0</v>
      </c>
      <c r="S137" s="254">
        <v>0</v>
      </c>
      <c r="T137" s="254">
        <v>0</v>
      </c>
      <c r="U137" s="254">
        <v>0</v>
      </c>
      <c r="V137" s="254">
        <v>0</v>
      </c>
      <c r="W137" s="254">
        <v>0</v>
      </c>
      <c r="X137" s="254">
        <v>0</v>
      </c>
      <c r="Y137" s="254">
        <v>0</v>
      </c>
    </row>
    <row r="138" spans="3:27" x14ac:dyDescent="0.25">
      <c r="E138" s="29"/>
      <c r="F138" t="s">
        <v>226</v>
      </c>
      <c r="G138" t="s">
        <v>176</v>
      </c>
      <c r="J138" s="254">
        <v>0</v>
      </c>
      <c r="K138" s="254">
        <v>0</v>
      </c>
      <c r="L138" s="254">
        <v>0</v>
      </c>
      <c r="M138" s="254">
        <v>0</v>
      </c>
      <c r="N138" s="254">
        <v>1</v>
      </c>
      <c r="O138" s="254">
        <v>1</v>
      </c>
      <c r="P138" s="254">
        <v>1</v>
      </c>
      <c r="Q138" s="254">
        <v>0</v>
      </c>
      <c r="R138" s="254">
        <v>0</v>
      </c>
      <c r="S138" s="254">
        <v>0</v>
      </c>
      <c r="T138" s="254">
        <v>1</v>
      </c>
      <c r="U138" s="254">
        <v>0</v>
      </c>
      <c r="V138" s="254">
        <v>1</v>
      </c>
      <c r="W138" s="254">
        <v>0</v>
      </c>
      <c r="X138" s="254">
        <v>1</v>
      </c>
      <c r="Y138" s="254">
        <v>0</v>
      </c>
    </row>
    <row r="139" spans="3:27" x14ac:dyDescent="0.25">
      <c r="E139" s="29"/>
      <c r="F139" t="s">
        <v>227</v>
      </c>
      <c r="G139" t="s">
        <v>176</v>
      </c>
      <c r="J139" s="254">
        <v>1</v>
      </c>
      <c r="K139" s="254">
        <v>0</v>
      </c>
      <c r="L139" s="254">
        <v>1</v>
      </c>
      <c r="M139" s="254">
        <v>0</v>
      </c>
      <c r="N139" s="254">
        <v>0</v>
      </c>
      <c r="O139" s="254">
        <v>0</v>
      </c>
      <c r="P139" s="254">
        <v>0</v>
      </c>
      <c r="Q139" s="254">
        <v>0</v>
      </c>
      <c r="R139" s="254">
        <v>0</v>
      </c>
      <c r="S139" s="254">
        <v>0</v>
      </c>
      <c r="T139" s="254">
        <v>0</v>
      </c>
      <c r="U139" s="254">
        <v>0</v>
      </c>
      <c r="V139" s="254">
        <v>0</v>
      </c>
      <c r="W139" s="254">
        <v>0</v>
      </c>
      <c r="X139" s="254">
        <v>0</v>
      </c>
      <c r="Y139" s="254">
        <v>0</v>
      </c>
    </row>
    <row r="140" spans="3:27" x14ac:dyDescent="0.25">
      <c r="D140" s="29"/>
      <c r="J140" s="14"/>
      <c r="K140" s="14"/>
      <c r="L140" s="14"/>
      <c r="M140" s="14"/>
      <c r="N140" s="14"/>
      <c r="O140" s="14"/>
      <c r="P140" s="14"/>
      <c r="Q140" s="14"/>
      <c r="R140" s="14"/>
      <c r="S140" s="14"/>
      <c r="T140" s="14"/>
      <c r="U140" s="14"/>
      <c r="V140" s="14"/>
      <c r="W140" s="14"/>
      <c r="X140" s="14"/>
      <c r="Y140" s="14"/>
    </row>
    <row r="141" spans="3:27" x14ac:dyDescent="0.25">
      <c r="C141" s="31" t="str">
        <f ca="1">INDEX('Version control'!$H$34:$H$57,MATCH($A$1,'Version control'!$F$34:$F$57,0),1)&amp;"-G: Identifiers for customer groupings"</f>
        <v>Input 101-G: Identifiers for customer groupings</v>
      </c>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row>
    <row r="143" spans="3:27" x14ac:dyDescent="0.25">
      <c r="E143" s="32" t="s">
        <v>228</v>
      </c>
      <c r="F143" s="32"/>
    </row>
    <row r="144" spans="3:27" x14ac:dyDescent="0.25">
      <c r="E144" s="29" t="s">
        <v>229</v>
      </c>
      <c r="F144" s="29"/>
      <c r="I144" t="s">
        <v>154</v>
      </c>
      <c r="AA144" t="s">
        <v>1069</v>
      </c>
    </row>
    <row r="145" spans="3:61" x14ac:dyDescent="0.25">
      <c r="E145" s="29"/>
      <c r="F145" s="28" t="s">
        <v>228</v>
      </c>
      <c r="G145" t="s">
        <v>149</v>
      </c>
      <c r="J145" s="246">
        <v>1</v>
      </c>
      <c r="K145" s="70"/>
      <c r="L145" s="246">
        <v>1</v>
      </c>
      <c r="M145" s="70"/>
      <c r="N145" s="70"/>
      <c r="O145" s="70"/>
      <c r="P145" s="70"/>
      <c r="Q145" s="70"/>
      <c r="R145" s="70"/>
      <c r="S145" s="70"/>
      <c r="T145" s="70"/>
      <c r="U145" s="70"/>
      <c r="V145" s="70"/>
      <c r="W145" s="70"/>
      <c r="X145" s="70"/>
      <c r="Y145" s="70"/>
    </row>
    <row r="146" spans="3:61" x14ac:dyDescent="0.25">
      <c r="E146" s="29"/>
      <c r="F146" s="29"/>
    </row>
    <row r="147" spans="3:61" x14ac:dyDescent="0.25">
      <c r="E147" s="32" t="s">
        <v>1005</v>
      </c>
      <c r="F147" s="32"/>
      <c r="I147" t="s">
        <v>154</v>
      </c>
      <c r="AA147" t="s">
        <v>1019</v>
      </c>
    </row>
    <row r="148" spans="3:61" x14ac:dyDescent="0.25">
      <c r="E148" s="29" t="s">
        <v>1006</v>
      </c>
      <c r="F148" s="29"/>
    </row>
    <row r="149" spans="3:61" x14ac:dyDescent="0.25">
      <c r="E149" s="29"/>
      <c r="F149" s="28" t="s">
        <v>1007</v>
      </c>
      <c r="G149" t="s">
        <v>149</v>
      </c>
      <c r="J149" s="246">
        <v>1</v>
      </c>
      <c r="K149" s="246">
        <v>1</v>
      </c>
      <c r="L149" s="246">
        <v>2</v>
      </c>
      <c r="M149" s="246">
        <v>2</v>
      </c>
      <c r="N149" s="70"/>
      <c r="O149" s="70"/>
      <c r="P149" s="70"/>
      <c r="Q149" s="70"/>
      <c r="R149" s="70"/>
      <c r="S149" s="70"/>
      <c r="T149" s="70"/>
      <c r="U149" s="70"/>
      <c r="V149" s="70"/>
      <c r="W149" s="70"/>
      <c r="X149" s="70"/>
      <c r="Y149" s="70"/>
    </row>
    <row r="150" spans="3:61" x14ac:dyDescent="0.25">
      <c r="E150" s="29"/>
      <c r="F150" s="29"/>
    </row>
    <row r="151" spans="3:61" x14ac:dyDescent="0.25">
      <c r="C151" s="31" t="str">
        <f ca="1">INDEX('Version control'!$H$34:$H$57,MATCH($A$1,'Version control'!$F$34:$F$57,0),1)&amp;"-H: Decimal places for error checks"</f>
        <v>Input 101-H: Decimal places for error checks</v>
      </c>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row>
    <row r="153" spans="3:61" x14ac:dyDescent="0.25">
      <c r="E153" t="s">
        <v>230</v>
      </c>
      <c r="G153" t="s">
        <v>149</v>
      </c>
      <c r="H153" s="246">
        <v>3</v>
      </c>
    </row>
    <row r="155" spans="3:61" x14ac:dyDescent="0.25">
      <c r="C155" s="31" t="str">
        <f ca="1">INDEX('Version control'!$H$34:$H$57,MATCH($A$1,'Version control'!$F$34:$F$57,0),1)&amp;"-I: Map of applicable MPANs"</f>
        <v>Input 101-I: Map of applicable MPANs</v>
      </c>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c r="AR155" s="31"/>
    </row>
    <row r="157" spans="3:61" x14ac:dyDescent="0.25">
      <c r="C157" s="88"/>
      <c r="D157" s="2"/>
      <c r="E157" s="32" t="s">
        <v>1032</v>
      </c>
      <c r="I157" t="s">
        <v>154</v>
      </c>
      <c r="J157" s="89"/>
      <c r="K157" s="89"/>
      <c r="L157" s="89"/>
      <c r="M157" s="89"/>
      <c r="N157" s="89"/>
      <c r="O157" s="89"/>
      <c r="P157" s="89"/>
      <c r="Q157" s="89"/>
      <c r="R157" s="89"/>
      <c r="S157" s="89"/>
      <c r="T157" s="89"/>
      <c r="U157" s="89"/>
      <c r="V157" s="89"/>
      <c r="W157" s="89"/>
      <c r="X157" s="89"/>
      <c r="Y157" s="89"/>
      <c r="Z157" s="89"/>
      <c r="AA157" s="89" t="s">
        <v>1064</v>
      </c>
      <c r="AB157" s="89"/>
      <c r="AC157" s="89"/>
      <c r="AD157" s="89"/>
      <c r="AE157" s="89"/>
      <c r="AF157" s="89"/>
      <c r="AG157" s="89"/>
      <c r="AH157" s="89"/>
      <c r="AI157" s="89"/>
      <c r="AJ157" s="89"/>
      <c r="AK157" s="89"/>
      <c r="AL157" s="89"/>
      <c r="AM157" s="89"/>
      <c r="AN157" s="89"/>
      <c r="AO157" s="89"/>
      <c r="AP157" s="89"/>
    </row>
    <row r="158" spans="3:61" x14ac:dyDescent="0.25">
      <c r="C158" s="88"/>
      <c r="D158" s="2"/>
      <c r="F158" s="23" t="s">
        <v>1033</v>
      </c>
      <c r="G158" s="23" t="s">
        <v>176</v>
      </c>
      <c r="H158" s="23"/>
      <c r="I158" s="23"/>
      <c r="J158" s="336">
        <v>1</v>
      </c>
      <c r="K158" s="336">
        <v>0</v>
      </c>
      <c r="L158" s="336">
        <v>0</v>
      </c>
      <c r="M158" s="336">
        <v>0</v>
      </c>
      <c r="N158" s="336">
        <v>0</v>
      </c>
      <c r="O158" s="336">
        <v>0</v>
      </c>
      <c r="P158" s="336">
        <v>0</v>
      </c>
      <c r="Q158" s="336">
        <v>0</v>
      </c>
      <c r="R158" s="336">
        <v>0</v>
      </c>
      <c r="S158" s="336">
        <v>0</v>
      </c>
      <c r="T158" s="336">
        <v>0</v>
      </c>
      <c r="U158" s="336">
        <v>0</v>
      </c>
      <c r="V158" s="336">
        <v>0</v>
      </c>
      <c r="W158" s="336">
        <v>0</v>
      </c>
      <c r="X158" s="336">
        <v>0</v>
      </c>
      <c r="Y158" s="336">
        <v>0</v>
      </c>
      <c r="Z158" s="89"/>
      <c r="AA158" s="89"/>
      <c r="AB158" s="89"/>
      <c r="AC158" s="89"/>
      <c r="AD158" s="89"/>
      <c r="AE158" s="89"/>
      <c r="AF158" s="89"/>
      <c r="AG158" s="89"/>
      <c r="AH158" s="89"/>
      <c r="AI158" s="89"/>
      <c r="AJ158" s="89"/>
      <c r="AK158" s="89"/>
      <c r="AL158" s="89"/>
      <c r="AM158" s="89"/>
      <c r="AN158" s="89"/>
      <c r="AO158" s="89"/>
      <c r="AP158" s="89"/>
    </row>
    <row r="159" spans="3:61" x14ac:dyDescent="0.25">
      <c r="C159" s="88"/>
      <c r="D159" s="2"/>
      <c r="F159" s="37" t="s">
        <v>1034</v>
      </c>
      <c r="G159" s="37" t="s">
        <v>176</v>
      </c>
      <c r="H159" s="37"/>
      <c r="I159" s="37"/>
      <c r="J159" s="337">
        <v>1</v>
      </c>
      <c r="K159" s="337">
        <v>0</v>
      </c>
      <c r="L159" s="337">
        <v>1</v>
      </c>
      <c r="M159" s="337">
        <v>0</v>
      </c>
      <c r="N159" s="337">
        <v>1</v>
      </c>
      <c r="O159" s="337">
        <v>1</v>
      </c>
      <c r="P159" s="337">
        <v>1</v>
      </c>
      <c r="Q159" s="337">
        <v>0</v>
      </c>
      <c r="R159" s="337">
        <v>0</v>
      </c>
      <c r="S159" s="337">
        <v>0</v>
      </c>
      <c r="T159" s="337">
        <v>0</v>
      </c>
      <c r="U159" s="337">
        <v>0</v>
      </c>
      <c r="V159" s="337">
        <v>0</v>
      </c>
      <c r="W159" s="337">
        <v>0</v>
      </c>
      <c r="X159" s="337">
        <v>0</v>
      </c>
      <c r="Y159" s="337">
        <v>0</v>
      </c>
      <c r="Z159" s="89"/>
      <c r="AA159" s="89"/>
      <c r="AB159" s="89"/>
      <c r="AC159" s="89"/>
      <c r="AD159" s="89"/>
      <c r="AE159" s="89"/>
      <c r="AF159" s="89"/>
      <c r="AG159" s="89"/>
      <c r="AH159" s="89"/>
      <c r="AI159" s="89"/>
      <c r="AJ159" s="89"/>
      <c r="AK159" s="89"/>
      <c r="AL159" s="89"/>
      <c r="AM159" s="89"/>
      <c r="AN159" s="89"/>
      <c r="AO159" s="89"/>
      <c r="AP159" s="89"/>
    </row>
    <row r="160" spans="3:61" x14ac:dyDescent="0.25">
      <c r="C160" s="88"/>
      <c r="D160" s="2"/>
      <c r="F160" s="321"/>
      <c r="G160" s="321"/>
      <c r="H160" s="321"/>
      <c r="I160" s="321"/>
      <c r="J160" s="321"/>
      <c r="K160" s="321"/>
      <c r="L160" s="321"/>
      <c r="M160" s="321"/>
      <c r="N160" s="321"/>
      <c r="O160" s="321"/>
      <c r="P160" s="321"/>
      <c r="Q160" s="321"/>
      <c r="R160" s="321"/>
      <c r="S160" s="321"/>
      <c r="T160" s="321"/>
      <c r="U160" s="321"/>
      <c r="V160" s="321"/>
      <c r="W160" s="321"/>
      <c r="X160" s="321"/>
      <c r="Y160" s="321"/>
      <c r="Z160" s="321"/>
      <c r="AA160" s="321"/>
      <c r="AB160" s="89"/>
      <c r="AC160" s="89"/>
      <c r="AD160" s="89"/>
      <c r="AE160" s="89"/>
      <c r="AF160" s="89"/>
      <c r="AG160" s="89"/>
      <c r="AH160" s="89"/>
      <c r="AI160" s="89"/>
      <c r="AJ160" s="89"/>
      <c r="AK160" s="89"/>
      <c r="AL160" s="89"/>
      <c r="AM160" s="89"/>
      <c r="AN160" s="89"/>
      <c r="AO160" s="89"/>
      <c r="AP160" s="89"/>
      <c r="AQ160" s="321"/>
      <c r="AR160" s="321"/>
      <c r="AS160" s="321"/>
      <c r="AT160" s="321"/>
      <c r="AU160" s="321"/>
      <c r="AV160" s="321"/>
      <c r="AW160" s="321"/>
      <c r="AX160" s="321"/>
      <c r="AY160" s="321"/>
      <c r="AZ160" s="321"/>
      <c r="BA160" s="321"/>
      <c r="BB160" s="321"/>
      <c r="BC160" s="321"/>
      <c r="BD160" s="321"/>
      <c r="BE160" s="321"/>
      <c r="BF160" s="321"/>
      <c r="BG160" s="321"/>
      <c r="BH160" s="321"/>
      <c r="BI160" s="321"/>
    </row>
    <row r="161" spans="2:27" x14ac:dyDescent="0.25">
      <c r="B161" s="30" t="s">
        <v>231</v>
      </c>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row>
    <row r="162" spans="2:27" x14ac:dyDescent="0.25">
      <c r="F162" s="3"/>
      <c r="G162" s="3"/>
      <c r="H162" s="3"/>
      <c r="I162" s="3"/>
    </row>
    <row r="163" spans="2:27" x14ac:dyDescent="0.25">
      <c r="E163" t="s">
        <v>232</v>
      </c>
      <c r="G163" s="6" t="s">
        <v>55</v>
      </c>
      <c r="H163" s="24">
        <f t="array" ref="H163">SUM(IF(ISERROR(H15:Y146), 1))</f>
        <v>0</v>
      </c>
      <c r="I163" s="3"/>
    </row>
    <row r="164" spans="2:27" x14ac:dyDescent="0.25">
      <c r="I164" s="3"/>
    </row>
    <row r="165" spans="2:27" x14ac:dyDescent="0.25">
      <c r="E165" s="32" t="s">
        <v>233</v>
      </c>
      <c r="I165" s="3"/>
    </row>
    <row r="166" spans="2:27" x14ac:dyDescent="0.25">
      <c r="F166" s="23" t="s">
        <v>234</v>
      </c>
      <c r="G166" s="73" t="s">
        <v>55</v>
      </c>
      <c r="H166" s="74">
        <f>SUM(J166:Y166)</f>
        <v>0</v>
      </c>
      <c r="I166" s="69"/>
      <c r="J166" s="74">
        <f t="shared" ref="J166:K166" si="0">IF( OR( AND(J105 = TRUE, NOT(ISBLANK(J106))), AND(J105 = FALSE, J106 = 0)), 0, 1)</f>
        <v>0</v>
      </c>
      <c r="K166" s="74">
        <f t="shared" si="0"/>
        <v>0</v>
      </c>
      <c r="L166" s="74">
        <f t="shared" ref="L166:M166" si="1">IF( OR( AND(L105 = TRUE, NOT(ISBLANK(L106))), AND(L105 = FALSE, L106 = 0)), 0, 1)</f>
        <v>0</v>
      </c>
      <c r="M166" s="74">
        <f t="shared" si="1"/>
        <v>0</v>
      </c>
      <c r="N166" s="74">
        <f t="shared" ref="N166:P166" si="2">IF( OR( AND(N105 = TRUE, NOT(ISBLANK(N106))), AND(N105 = FALSE, N106 = 0)), 0, 1)</f>
        <v>0</v>
      </c>
      <c r="O166" s="74">
        <f t="shared" si="2"/>
        <v>0</v>
      </c>
      <c r="P166" s="74">
        <f t="shared" si="2"/>
        <v>0</v>
      </c>
      <c r="Q166" s="74">
        <f t="shared" ref="Q166:S166" si="3">IF( OR( AND(Q105 = TRUE, NOT(ISBLANK(Q106))), AND(Q105 = FALSE, Q106 = 0)), 0, 1)</f>
        <v>0</v>
      </c>
      <c r="R166" s="74">
        <f t="shared" si="3"/>
        <v>0</v>
      </c>
      <c r="S166" s="74">
        <f t="shared" si="3"/>
        <v>0</v>
      </c>
      <c r="T166" s="74">
        <f t="shared" ref="T166:U166" si="4">IF( OR( AND(T105 = TRUE, NOT(ISBLANK(T106))), AND(T105 = FALSE, T106 = 0)), 0, 1)</f>
        <v>0</v>
      </c>
      <c r="U166" s="74">
        <f t="shared" si="4"/>
        <v>0</v>
      </c>
      <c r="V166" s="74">
        <f t="shared" ref="V166:W166" si="5">IF( OR( AND(V105 = TRUE, NOT(ISBLANK(V106))), AND(V105 = FALSE, V106 = 0)), 0, 1)</f>
        <v>0</v>
      </c>
      <c r="W166" s="74">
        <f t="shared" si="5"/>
        <v>0</v>
      </c>
      <c r="X166" s="74">
        <f t="shared" ref="X166:Y166" si="6">IF( OR( AND(X105 = TRUE, NOT(ISBLANK(X106))), AND(X105 = FALSE, X106 = 0)), 0, 1)</f>
        <v>0</v>
      </c>
      <c r="Y166" s="74">
        <f t="shared" si="6"/>
        <v>0</v>
      </c>
    </row>
    <row r="167" spans="2:27" x14ac:dyDescent="0.25">
      <c r="F167" t="s">
        <v>235</v>
      </c>
      <c r="G167" s="6" t="s">
        <v>55</v>
      </c>
      <c r="H167" s="24">
        <f>SUM(J167:Y167)</f>
        <v>0</v>
      </c>
      <c r="I167" s="3"/>
      <c r="J167" s="24">
        <f t="shared" ref="J167:K167" si="7">IF( OR( AND(J109 = TRUE, NOT(ISBLANK(J110))), AND(J109 = FALSE, J110 = 0)), 0, 1)</f>
        <v>0</v>
      </c>
      <c r="K167" s="24">
        <f t="shared" si="7"/>
        <v>0</v>
      </c>
      <c r="L167" s="24">
        <f t="shared" ref="L167:M167" si="8">IF( OR( AND(L109 = TRUE, NOT(ISBLANK(L110))), AND(L109 = FALSE, L110 = 0)), 0, 1)</f>
        <v>0</v>
      </c>
      <c r="M167" s="24">
        <f t="shared" si="8"/>
        <v>0</v>
      </c>
      <c r="N167" s="24">
        <f t="shared" ref="N167:P167" si="9">IF( OR( AND(N109 = TRUE, NOT(ISBLANK(N110))), AND(N109 = FALSE, N110 = 0)), 0, 1)</f>
        <v>0</v>
      </c>
      <c r="O167" s="24">
        <f t="shared" si="9"/>
        <v>0</v>
      </c>
      <c r="P167" s="24">
        <f t="shared" si="9"/>
        <v>0</v>
      </c>
      <c r="Q167" s="24">
        <f t="shared" ref="Q167:S167" si="10">IF( OR( AND(Q109 = TRUE, NOT(ISBLANK(Q110))), AND(Q109 = FALSE, Q110 = 0)), 0, 1)</f>
        <v>0</v>
      </c>
      <c r="R167" s="24">
        <f t="shared" si="10"/>
        <v>0</v>
      </c>
      <c r="S167" s="24">
        <f t="shared" si="10"/>
        <v>0</v>
      </c>
      <c r="T167" s="24">
        <f t="shared" ref="T167:U167" si="11">IF( OR( AND(T109 = TRUE, NOT(ISBLANK(T110))), AND(T109 = FALSE, T110 = 0)), 0, 1)</f>
        <v>0</v>
      </c>
      <c r="U167" s="24">
        <f t="shared" si="11"/>
        <v>0</v>
      </c>
      <c r="V167" s="24">
        <f t="shared" ref="V167:W167" si="12">IF( OR( AND(V109 = TRUE, NOT(ISBLANK(V110))), AND(V109 = FALSE, V110 = 0)), 0, 1)</f>
        <v>0</v>
      </c>
      <c r="W167" s="24">
        <f t="shared" si="12"/>
        <v>0</v>
      </c>
      <c r="X167" s="24">
        <f t="shared" ref="X167:Y167" si="13">IF( OR( AND(X109 = TRUE, NOT(ISBLANK(X110))), AND(X109 = FALSE, X110 = 0)), 0, 1)</f>
        <v>0</v>
      </c>
      <c r="Y167" s="24">
        <f t="shared" si="13"/>
        <v>0</v>
      </c>
    </row>
    <row r="168" spans="2:27" x14ac:dyDescent="0.25">
      <c r="F168" t="s">
        <v>236</v>
      </c>
      <c r="G168" s="6" t="s">
        <v>55</v>
      </c>
      <c r="H168" s="24">
        <f>SUM(J168:Y168)</f>
        <v>0</v>
      </c>
      <c r="I168" s="3"/>
      <c r="J168" s="24">
        <f t="shared" ref="J168:K168" si="14">IF( OR( AND(J113 = TRUE, NOT(ISBLANK(J114))), AND(J113 = FALSE, J114 = 0)), 0, 1)</f>
        <v>0</v>
      </c>
      <c r="K168" s="24">
        <f t="shared" si="14"/>
        <v>0</v>
      </c>
      <c r="L168" s="24">
        <f t="shared" ref="L168:M168" si="15">IF( OR( AND(L113 = TRUE, NOT(ISBLANK(L114))), AND(L113 = FALSE, L114 = 0)), 0, 1)</f>
        <v>0</v>
      </c>
      <c r="M168" s="24">
        <f t="shared" si="15"/>
        <v>0</v>
      </c>
      <c r="N168" s="24">
        <f t="shared" ref="N168:P168" si="16">IF( OR( AND(N113 = TRUE, NOT(ISBLANK(N114))), AND(N113 = FALSE, N114 = 0)), 0, 1)</f>
        <v>0</v>
      </c>
      <c r="O168" s="24">
        <f t="shared" si="16"/>
        <v>0</v>
      </c>
      <c r="P168" s="24">
        <f t="shared" si="16"/>
        <v>0</v>
      </c>
      <c r="Q168" s="24">
        <f t="shared" ref="Q168:S168" si="17">IF( OR( AND(Q113 = TRUE, NOT(ISBLANK(Q114))), AND(Q113 = FALSE, Q114 = 0)), 0, 1)</f>
        <v>0</v>
      </c>
      <c r="R168" s="24">
        <f t="shared" si="17"/>
        <v>0</v>
      </c>
      <c r="S168" s="24">
        <f t="shared" si="17"/>
        <v>0</v>
      </c>
      <c r="T168" s="24">
        <f t="shared" ref="T168:U168" si="18">IF( OR( AND(T113 = TRUE, NOT(ISBLANK(T114))), AND(T113 = FALSE, T114 = 0)), 0, 1)</f>
        <v>0</v>
      </c>
      <c r="U168" s="24">
        <f t="shared" si="18"/>
        <v>0</v>
      </c>
      <c r="V168" s="24">
        <f t="shared" ref="V168:W168" si="19">IF( OR( AND(V113 = TRUE, NOT(ISBLANK(V114))), AND(V113 = FALSE, V114 = 0)), 0, 1)</f>
        <v>0</v>
      </c>
      <c r="W168" s="24">
        <f t="shared" si="19"/>
        <v>0</v>
      </c>
      <c r="X168" s="24">
        <f t="shared" ref="X168:Y168" si="20">IF( OR( AND(X113 = TRUE, NOT(ISBLANK(X114))), AND(X113 = FALSE, X114 = 0)), 0, 1)</f>
        <v>0</v>
      </c>
      <c r="Y168" s="24">
        <f t="shared" si="20"/>
        <v>0</v>
      </c>
    </row>
    <row r="169" spans="2:27" x14ac:dyDescent="0.25">
      <c r="F169" t="s">
        <v>237</v>
      </c>
      <c r="G169" s="6" t="s">
        <v>55</v>
      </c>
      <c r="H169" s="24">
        <f>SUM(J169:Y169)</f>
        <v>0</v>
      </c>
      <c r="I169" s="3"/>
      <c r="J169" s="24">
        <f t="shared" ref="J169:K169" si="21">IF( OR( AND(J117 = TRUE, NOT(ISBLANK(J118))), AND(J117 = FALSE, J118 = 0)), 0, 1)</f>
        <v>0</v>
      </c>
      <c r="K169" s="24">
        <f t="shared" si="21"/>
        <v>0</v>
      </c>
      <c r="L169" s="24">
        <f t="shared" ref="L169:M169" si="22">IF( OR( AND(L117 = TRUE, NOT(ISBLANK(L118))), AND(L117 = FALSE, L118 = 0)), 0, 1)</f>
        <v>0</v>
      </c>
      <c r="M169" s="24">
        <f t="shared" si="22"/>
        <v>0</v>
      </c>
      <c r="N169" s="24">
        <f t="shared" ref="N169:P169" si="23">IF( OR( AND(N117 = TRUE, NOT(ISBLANK(N118))), AND(N117 = FALSE, N118 = 0)), 0, 1)</f>
        <v>0</v>
      </c>
      <c r="O169" s="24">
        <f t="shared" si="23"/>
        <v>0</v>
      </c>
      <c r="P169" s="24">
        <f t="shared" si="23"/>
        <v>0</v>
      </c>
      <c r="Q169" s="24">
        <f t="shared" ref="Q169:S169" si="24">IF( OR( AND(Q117 = TRUE, NOT(ISBLANK(Q118))), AND(Q117 = FALSE, Q118 = 0)), 0, 1)</f>
        <v>0</v>
      </c>
      <c r="R169" s="24">
        <f t="shared" si="24"/>
        <v>0</v>
      </c>
      <c r="S169" s="24">
        <f t="shared" si="24"/>
        <v>0</v>
      </c>
      <c r="T169" s="24">
        <f t="shared" ref="T169:U169" si="25">IF( OR( AND(T117 = TRUE, NOT(ISBLANK(T118))), AND(T117 = FALSE, T118 = 0)), 0, 1)</f>
        <v>0</v>
      </c>
      <c r="U169" s="24">
        <f t="shared" si="25"/>
        <v>0</v>
      </c>
      <c r="V169" s="24">
        <f t="shared" ref="V169:W169" si="26">IF( OR( AND(V117 = TRUE, NOT(ISBLANK(V118))), AND(V117 = FALSE, V118 = 0)), 0, 1)</f>
        <v>0</v>
      </c>
      <c r="W169" s="24">
        <f t="shared" si="26"/>
        <v>0</v>
      </c>
      <c r="X169" s="24">
        <f t="shared" ref="X169:Y169" si="27">IF( OR( AND(X117 = TRUE, NOT(ISBLANK(X118))), AND(X117 = FALSE, X118 = 0)), 0, 1)</f>
        <v>0</v>
      </c>
      <c r="Y169" s="24">
        <f t="shared" si="27"/>
        <v>0</v>
      </c>
    </row>
    <row r="170" spans="2:27" x14ac:dyDescent="0.25">
      <c r="F170" s="37" t="s">
        <v>238</v>
      </c>
      <c r="G170" s="50" t="s">
        <v>55</v>
      </c>
      <c r="H170" s="75">
        <f>SUM(J170:Y170)</f>
        <v>0</v>
      </c>
      <c r="I170" s="76"/>
      <c r="J170" s="75">
        <f t="shared" ref="J170:K170" si="28">IF( OR( AND(J121 = TRUE, NOT(ISBLANK(J122))), AND(J121 = FALSE, J122 = 0)), 0, 1)</f>
        <v>0</v>
      </c>
      <c r="K170" s="75">
        <f t="shared" si="28"/>
        <v>0</v>
      </c>
      <c r="L170" s="75">
        <f t="shared" ref="L170:M170" si="29">IF( OR( AND(L121 = TRUE, NOT(ISBLANK(L122))), AND(L121 = FALSE, L122 = 0)), 0, 1)</f>
        <v>0</v>
      </c>
      <c r="M170" s="75">
        <f t="shared" si="29"/>
        <v>0</v>
      </c>
      <c r="N170" s="75">
        <f t="shared" ref="N170:P170" si="30">IF( OR( AND(N121 = TRUE, NOT(ISBLANK(N122))), AND(N121 = FALSE, N122 = 0)), 0, 1)</f>
        <v>0</v>
      </c>
      <c r="O170" s="75">
        <f t="shared" si="30"/>
        <v>0</v>
      </c>
      <c r="P170" s="75">
        <f t="shared" si="30"/>
        <v>0</v>
      </c>
      <c r="Q170" s="75">
        <f t="shared" ref="Q170:S170" si="31">IF( OR( AND(Q121 = TRUE, NOT(ISBLANK(Q122))), AND(Q121 = FALSE, Q122 = 0)), 0, 1)</f>
        <v>0</v>
      </c>
      <c r="R170" s="75">
        <f t="shared" si="31"/>
        <v>0</v>
      </c>
      <c r="S170" s="75">
        <f t="shared" si="31"/>
        <v>0</v>
      </c>
      <c r="T170" s="75">
        <f t="shared" ref="T170:U170" si="32">IF( OR( AND(T121 = TRUE, NOT(ISBLANK(T122))), AND(T121 = FALSE, T122 = 0)), 0, 1)</f>
        <v>0</v>
      </c>
      <c r="U170" s="75">
        <f t="shared" si="32"/>
        <v>0</v>
      </c>
      <c r="V170" s="75">
        <f t="shared" ref="V170:W170" si="33">IF( OR( AND(V121 = TRUE, NOT(ISBLANK(V122))), AND(V121 = FALSE, V122 = 0)), 0, 1)</f>
        <v>0</v>
      </c>
      <c r="W170" s="75">
        <f t="shared" si="33"/>
        <v>0</v>
      </c>
      <c r="X170" s="75">
        <f t="shared" ref="X170:Y170" si="34">IF( OR( AND(X121 = TRUE, NOT(ISBLANK(X122))), AND(X121 = FALSE, X122 = 0)), 0, 1)</f>
        <v>0</v>
      </c>
      <c r="Y170" s="75">
        <f t="shared" si="34"/>
        <v>0</v>
      </c>
    </row>
    <row r="171" spans="2:27" x14ac:dyDescent="0.25">
      <c r="F171" s="3"/>
      <c r="G171" s="3"/>
      <c r="H171" s="3"/>
      <c r="I171" s="3"/>
    </row>
    <row r="172" spans="2:27" x14ac:dyDescent="0.25">
      <c r="E172" t="s">
        <v>239</v>
      </c>
      <c r="G172" s="6" t="s">
        <v>55</v>
      </c>
      <c r="H172" s="26">
        <f>H163 + SUM(H166:H170)</f>
        <v>0</v>
      </c>
      <c r="I172" s="3"/>
    </row>
    <row r="173" spans="2:27" x14ac:dyDescent="0.25">
      <c r="I173" s="3"/>
    </row>
    <row r="174" spans="2:27" x14ac:dyDescent="0.25">
      <c r="B174" s="30" t="s">
        <v>106</v>
      </c>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c r="AA174" s="30"/>
    </row>
    <row r="175" spans="2:27" x14ac:dyDescent="0.25">
      <c r="F175" s="3"/>
      <c r="G175" s="3"/>
      <c r="H175" s="3"/>
      <c r="I175" s="3"/>
    </row>
    <row r="176" spans="2:27" x14ac:dyDescent="0.25">
      <c r="F176" s="3"/>
      <c r="G176" s="3"/>
      <c r="H176" s="3"/>
      <c r="I176" s="3"/>
    </row>
  </sheetData>
  <sheetProtection sheet="1" objects="1" formatCells="0" formatColumns="0" formatRows="0" sort="0" autoFilter="0"/>
  <conditionalFormatting sqref="H163">
    <cfRule type="cellIs" dxfId="224" priority="31" operator="greaterThan">
      <formula>0</formula>
    </cfRule>
  </conditionalFormatting>
  <conditionalFormatting sqref="H166:H170">
    <cfRule type="cellIs" dxfId="223" priority="29" operator="greaterThan">
      <formula>0</formula>
    </cfRule>
  </conditionalFormatting>
  <conditionalFormatting sqref="H172">
    <cfRule type="cellIs" dxfId="222" priority="26" operator="greaterThan">
      <formula>0</formula>
    </cfRule>
  </conditionalFormatting>
  <conditionalFormatting sqref="A4:I4 Z4:XFD4">
    <cfRule type="expression" dxfId="221" priority="25">
      <formula>LEFT($A$4,1) &lt;&gt; "0"</formula>
    </cfRule>
  </conditionalFormatting>
  <conditionalFormatting sqref="N166:P170">
    <cfRule type="cellIs" dxfId="220" priority="23" operator="greaterThan">
      <formula>0</formula>
    </cfRule>
  </conditionalFormatting>
  <conditionalFormatting sqref="N4:P4">
    <cfRule type="expression" dxfId="219" priority="22">
      <formula>LEFT($A$4,1) &lt;&gt; "0"</formula>
    </cfRule>
  </conditionalFormatting>
  <conditionalFormatting sqref="L166:M170">
    <cfRule type="cellIs" dxfId="218" priority="20" operator="greaterThan">
      <formula>0</formula>
    </cfRule>
  </conditionalFormatting>
  <conditionalFormatting sqref="L4:M4">
    <cfRule type="expression" dxfId="217" priority="19">
      <formula>LEFT($A$4,1) &lt;&gt; "0"</formula>
    </cfRule>
  </conditionalFormatting>
  <conditionalFormatting sqref="J166:K170">
    <cfRule type="cellIs" dxfId="216" priority="17" operator="greaterThan">
      <formula>0</formula>
    </cfRule>
  </conditionalFormatting>
  <conditionalFormatting sqref="J4:K4">
    <cfRule type="expression" dxfId="215" priority="16">
      <formula>LEFT($A$4,1) &lt;&gt; "0"</formula>
    </cfRule>
  </conditionalFormatting>
  <conditionalFormatting sqref="Q166:Q170">
    <cfRule type="cellIs" dxfId="214" priority="14" operator="greaterThan">
      <formula>0</formula>
    </cfRule>
  </conditionalFormatting>
  <conditionalFormatting sqref="Q4">
    <cfRule type="expression" dxfId="213" priority="13">
      <formula>LEFT($A$4,1) &lt;&gt; "0"</formula>
    </cfRule>
  </conditionalFormatting>
  <conditionalFormatting sqref="R166:S170">
    <cfRule type="cellIs" dxfId="212" priority="11" operator="greaterThan">
      <formula>0</formula>
    </cfRule>
  </conditionalFormatting>
  <conditionalFormatting sqref="R4:S4">
    <cfRule type="expression" dxfId="211" priority="10">
      <formula>LEFT($A$4,1) &lt;&gt; "0"</formula>
    </cfRule>
  </conditionalFormatting>
  <conditionalFormatting sqref="T166:U170">
    <cfRule type="cellIs" dxfId="210" priority="8" operator="greaterThan">
      <formula>0</formula>
    </cfRule>
  </conditionalFormatting>
  <conditionalFormatting sqref="T4:U4">
    <cfRule type="expression" dxfId="209" priority="7">
      <formula>LEFT($A$4,1) &lt;&gt; "0"</formula>
    </cfRule>
  </conditionalFormatting>
  <conditionalFormatting sqref="V166:W170">
    <cfRule type="cellIs" dxfId="208" priority="5" operator="greaterThan">
      <formula>0</formula>
    </cfRule>
  </conditionalFormatting>
  <conditionalFormatting sqref="V4:W4">
    <cfRule type="expression" dxfId="207" priority="4">
      <formula>LEFT($A$4,1) &lt;&gt; "0"</formula>
    </cfRule>
  </conditionalFormatting>
  <conditionalFormatting sqref="X166:Y170">
    <cfRule type="cellIs" dxfId="206" priority="2" operator="greaterThan">
      <formula>0</formula>
    </cfRule>
  </conditionalFormatting>
  <conditionalFormatting sqref="X4:Y4">
    <cfRule type="expression" dxfId="205" priority="1">
      <formula>LEFT($A$4,1) &lt;&gt; "0"</formula>
    </cfRule>
  </conditionalFormatting>
  <dataValidations count="10">
    <dataValidation type="whole" allowBlank="1" showInputMessage="1" showErrorMessage="1" sqref="H25:H31">
      <formula1>0</formula1>
      <formula2>3</formula2>
    </dataValidation>
    <dataValidation type="decimal" allowBlank="1" showInputMessage="1" showErrorMessage="1" sqref="H39 K145 M145:Y145 J88:Y97 J106:Y106 J110:Y110 J114:Y114 J118:Y118 J122:Y122 N149:Y149">
      <formula1>0</formula1>
      <formula2>1</formula2>
    </dataValidation>
    <dataValidation type="whole" allowBlank="1" showInputMessage="1" showErrorMessage="1" sqref="L145 J145 J149:M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53:Y56 J46:Y49">
      <formula1>0</formula1>
      <formula2>1</formula2>
    </dataValidation>
    <dataValidation type="whole" allowBlank="1" showInputMessage="1" showErrorMessage="1" sqref="J73:Y82 J60:Y69">
      <formula1>-1</formula1>
      <formula2>1</formula2>
    </dataValidation>
    <dataValidation type="list" allowBlank="1" showInputMessage="1" showErrorMessage="1" sqref="J131:Y131 J105:Y105 J109:Y109 J113:Y113 J117:Y117 J121:Y121 J127:Y127">
      <formula1>"TRUE, FALSE"</formula1>
    </dataValidation>
  </dataValidations>
  <hyperlinks>
    <hyperlink ref="B5:F5" location="'Model map'!A1" display="Click here to return to model map"/>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KH86"/>
  <sheetViews>
    <sheetView showGridLines="0" zoomScale="80" zoomScaleNormal="80" workbookViewId="0">
      <pane xSplit="9" ySplit="5" topLeftCell="J73" activePane="bottomRight" state="frozen"/>
      <selection pane="topRight"/>
      <selection pane="bottomLeft"/>
      <selection pane="bottomRight" sqref="A1:Y85"/>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4" width="20.5703125" hidden="1" customWidth="1"/>
    <col min="295" max="16384" width="9.28515625" hidden="1"/>
  </cols>
  <sheetData>
    <row r="1" spans="1:27" s="1" customFormat="1" x14ac:dyDescent="0.25">
      <c r="A1" s="1" t="str">
        <f ca="1">MID(CELL("filename",A1),FIND("]",CELL("filename",A1))+1,255)</f>
        <v>Inputs by customer type</v>
      </c>
    </row>
    <row r="2" spans="1:27" s="1" customFormat="1" x14ac:dyDescent="0.25">
      <c r="A2" s="1" t="str">
        <f>Cover!D21&amp;" - "&amp;Cover!D23</f>
        <v>WPD East Midlands - April 21 Prices</v>
      </c>
    </row>
    <row r="3" spans="1:27" s="5" customFormat="1" x14ac:dyDescent="0.25">
      <c r="A3" s="5" t="str">
        <f>Cover!D2&amp;" - "&amp;Cover!D8&amp;" v"&amp;Cover!D10&amp;" - "&amp;Cover!D19</f>
        <v>CDCM charging model - Release for charge setting v5 - 2021/22</v>
      </c>
    </row>
    <row r="4" spans="1:27" x14ac:dyDescent="0.25">
      <c r="A4" s="12" t="str">
        <f>H84 &amp; IF(H84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307" t="s">
        <v>143</v>
      </c>
      <c r="H5" s="308" t="s">
        <v>144</v>
      </c>
      <c r="I5" s="14"/>
      <c r="J5" s="308" t="s">
        <v>940</v>
      </c>
      <c r="K5" s="308" t="s">
        <v>942</v>
      </c>
      <c r="L5" s="308" t="s">
        <v>941</v>
      </c>
      <c r="M5" s="308" t="s">
        <v>943</v>
      </c>
      <c r="N5" s="308" t="s">
        <v>949</v>
      </c>
      <c r="O5" s="308" t="s">
        <v>950</v>
      </c>
      <c r="P5" s="308" t="s">
        <v>951</v>
      </c>
      <c r="Q5" s="308" t="s">
        <v>952</v>
      </c>
      <c r="R5" s="308" t="s">
        <v>944</v>
      </c>
      <c r="S5" s="308" t="s">
        <v>945</v>
      </c>
      <c r="T5" s="308" t="s">
        <v>946</v>
      </c>
      <c r="U5" s="308" t="s">
        <v>955</v>
      </c>
      <c r="V5" s="308" t="s">
        <v>947</v>
      </c>
      <c r="W5" s="308" t="s">
        <v>954</v>
      </c>
      <c r="X5" s="308" t="s">
        <v>948</v>
      </c>
      <c r="Y5" s="308"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240</v>
      </c>
    </row>
    <row r="11" spans="1:27" x14ac:dyDescent="0.25">
      <c r="B11" s="30" t="s">
        <v>56</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row>
    <row r="12" spans="1:27" x14ac:dyDescent="0.25">
      <c r="D12" s="28"/>
    </row>
    <row r="13" spans="1:27" x14ac:dyDescent="0.25">
      <c r="C13" s="31" t="str">
        <f ca="1">INDEX('Version control'!$H$34:$H$57,MATCH($A$1,'Version control'!$F$34:$F$57,0),1)&amp;"-A: Load characteristics"</f>
        <v>Input 102-A: Load characteristics</v>
      </c>
      <c r="D13" s="31"/>
      <c r="E13" s="31"/>
      <c r="F13" s="31"/>
      <c r="G13" s="31"/>
      <c r="H13" s="31"/>
      <c r="I13" s="31"/>
      <c r="J13" s="31"/>
      <c r="K13" s="31"/>
      <c r="L13" s="31"/>
      <c r="M13" s="31"/>
      <c r="N13" s="31"/>
      <c r="O13" s="31"/>
      <c r="P13" s="31"/>
      <c r="Q13" s="31"/>
      <c r="R13" s="31"/>
      <c r="S13" s="31"/>
      <c r="T13" s="31"/>
      <c r="U13" s="31"/>
      <c r="V13" s="31"/>
      <c r="W13" s="31"/>
      <c r="X13" s="31"/>
      <c r="Y13" s="31"/>
      <c r="Z13" s="31"/>
      <c r="AA13" s="31"/>
    </row>
    <row r="15" spans="1:27" x14ac:dyDescent="0.25">
      <c r="E15" s="28" t="s">
        <v>241</v>
      </c>
      <c r="G15" s="13" t="s">
        <v>167</v>
      </c>
      <c r="I15" t="s">
        <v>154</v>
      </c>
      <c r="J15" s="260">
        <v>0.44397974678068536</v>
      </c>
      <c r="K15" s="260">
        <v>0.13881219556888127</v>
      </c>
      <c r="L15" s="260">
        <v>0.44123279801225818</v>
      </c>
      <c r="M15" s="260">
        <v>0.23368731396163733</v>
      </c>
      <c r="N15" s="260">
        <v>0.54167163750777603</v>
      </c>
      <c r="O15" s="260">
        <v>0.58486871631825632</v>
      </c>
      <c r="P15" s="260">
        <v>0.72784375510387</v>
      </c>
      <c r="Q15" s="260">
        <v>0.48743237159494751</v>
      </c>
      <c r="R15" s="70"/>
      <c r="S15" s="70"/>
      <c r="T15" s="70"/>
      <c r="U15" s="70"/>
      <c r="V15" s="70"/>
      <c r="W15" s="70"/>
      <c r="X15" s="70"/>
      <c r="Y15" s="70"/>
      <c r="AA15" t="s">
        <v>242</v>
      </c>
    </row>
    <row r="16" spans="1:27" x14ac:dyDescent="0.25">
      <c r="E16" s="28" t="s">
        <v>243</v>
      </c>
      <c r="G16" s="13" t="s">
        <v>167</v>
      </c>
      <c r="I16" t="s">
        <v>154</v>
      </c>
      <c r="J16" s="260">
        <v>0.92943558119766034</v>
      </c>
      <c r="K16" s="94"/>
      <c r="L16" s="260">
        <v>0.73458407223121769</v>
      </c>
      <c r="M16" s="94"/>
      <c r="N16" s="260">
        <v>0.75242030147382444</v>
      </c>
      <c r="O16" s="260">
        <v>0.81322560909437147</v>
      </c>
      <c r="P16" s="260">
        <v>0.81073093236674865</v>
      </c>
      <c r="Q16" s="260">
        <v>0.93118677493939328</v>
      </c>
      <c r="R16" s="70"/>
      <c r="S16" s="70"/>
      <c r="T16" s="70"/>
      <c r="U16" s="70"/>
      <c r="V16" s="70"/>
      <c r="W16" s="70"/>
      <c r="X16" s="70"/>
      <c r="Y16" s="70"/>
      <c r="AA16" t="s">
        <v>244</v>
      </c>
    </row>
    <row r="17" spans="3:27" x14ac:dyDescent="0.25">
      <c r="G17" s="13"/>
    </row>
    <row r="18" spans="3:27" x14ac:dyDescent="0.25">
      <c r="C18" s="31" t="str">
        <f ca="1">INDEX('Version control'!$H$34:$H$57,MATCH($A$1,'Version control'!$F$34:$F$57,0),1)&amp;"-B: Volume forecasts for the charging year"</f>
        <v>Input 102-B: Volume forecasts for the charging year</v>
      </c>
      <c r="D18" s="31"/>
      <c r="E18" s="31"/>
      <c r="F18" s="31"/>
      <c r="G18" s="31"/>
      <c r="H18" s="31"/>
      <c r="I18" s="31"/>
      <c r="J18" s="31"/>
      <c r="K18" s="31"/>
      <c r="L18" s="31"/>
      <c r="M18" s="31"/>
      <c r="N18" s="31"/>
      <c r="O18" s="31"/>
      <c r="P18" s="31"/>
      <c r="Q18" s="31"/>
      <c r="R18" s="31"/>
      <c r="S18" s="31"/>
      <c r="T18" s="31"/>
      <c r="U18" s="31"/>
      <c r="V18" s="31"/>
      <c r="W18" s="31"/>
      <c r="X18" s="31"/>
      <c r="Y18" s="31"/>
      <c r="Z18" s="31"/>
      <c r="AA18" s="31"/>
    </row>
    <row r="19" spans="3:27" x14ac:dyDescent="0.25">
      <c r="G19" s="13"/>
    </row>
    <row r="20" spans="3:27" x14ac:dyDescent="0.25">
      <c r="E20" s="32" t="s">
        <v>245</v>
      </c>
      <c r="G20" s="13"/>
      <c r="I20" t="s">
        <v>154</v>
      </c>
      <c r="AA20" t="s">
        <v>246</v>
      </c>
    </row>
    <row r="21" spans="3:27" x14ac:dyDescent="0.25">
      <c r="E21" s="32"/>
      <c r="F21" s="78" t="s">
        <v>247</v>
      </c>
      <c r="G21" s="78" t="s">
        <v>207</v>
      </c>
      <c r="H21" s="23"/>
      <c r="I21" s="23"/>
      <c r="J21" s="256">
        <v>970871.82362676424</v>
      </c>
      <c r="K21" s="256">
        <v>844.76303646099564</v>
      </c>
      <c r="L21" s="256">
        <v>327000</v>
      </c>
      <c r="M21" s="256">
        <v>29.861394683968697</v>
      </c>
      <c r="N21" s="256">
        <v>336787.25975763035</v>
      </c>
      <c r="O21" s="256">
        <v>26999.983315427104</v>
      </c>
      <c r="P21" s="256">
        <v>683754.16626766091</v>
      </c>
      <c r="Q21" s="256">
        <v>9789.5205727051216</v>
      </c>
      <c r="R21" s="256">
        <v>111.48905236288842</v>
      </c>
      <c r="S21" s="256">
        <v>0</v>
      </c>
      <c r="T21" s="256">
        <v>4546.0607835589108</v>
      </c>
      <c r="U21" s="256">
        <v>0</v>
      </c>
      <c r="V21" s="256">
        <v>615.06552578097023</v>
      </c>
      <c r="W21" s="256">
        <v>0</v>
      </c>
      <c r="X21" s="256">
        <v>229961.87994000159</v>
      </c>
      <c r="Y21" s="256">
        <v>0</v>
      </c>
    </row>
    <row r="22" spans="3:27" x14ac:dyDescent="0.25">
      <c r="E22" s="32"/>
      <c r="F22" s="72" t="s">
        <v>248</v>
      </c>
      <c r="G22" s="72" t="s">
        <v>207</v>
      </c>
      <c r="J22" s="257">
        <v>2877584.0133267501</v>
      </c>
      <c r="K22" s="257">
        <v>5440.3358304795011</v>
      </c>
      <c r="L22" s="257">
        <v>1347000</v>
      </c>
      <c r="M22" s="257">
        <v>464.08328869228717</v>
      </c>
      <c r="N22" s="257">
        <v>1423327.1096899852</v>
      </c>
      <c r="O22" s="257">
        <v>99999.933045702928</v>
      </c>
      <c r="P22" s="257">
        <v>2612881.953087254</v>
      </c>
      <c r="Q22" s="258">
        <v>48857.68668448575</v>
      </c>
      <c r="R22" s="258">
        <v>613.18218023126963</v>
      </c>
      <c r="S22" s="258">
        <v>0</v>
      </c>
      <c r="T22" s="257">
        <v>22509.835347796026</v>
      </c>
      <c r="U22" s="257">
        <v>0</v>
      </c>
      <c r="V22" s="257">
        <v>2420.0756967191228</v>
      </c>
      <c r="W22" s="257">
        <v>0</v>
      </c>
      <c r="X22" s="257">
        <v>553493.31010462705</v>
      </c>
      <c r="Y22" s="257">
        <v>0</v>
      </c>
    </row>
    <row r="23" spans="3:27" x14ac:dyDescent="0.25">
      <c r="E23" s="32"/>
      <c r="F23" s="72" t="s">
        <v>249</v>
      </c>
      <c r="G23" s="72" t="s">
        <v>207</v>
      </c>
      <c r="J23" s="257">
        <v>4767280.9236435853</v>
      </c>
      <c r="K23" s="257">
        <v>9899.7165488828668</v>
      </c>
      <c r="L23" s="257">
        <v>1478999.9999999991</v>
      </c>
      <c r="M23" s="257">
        <v>1793.2522001264201</v>
      </c>
      <c r="N23" s="257">
        <v>1552629.3612040761</v>
      </c>
      <c r="O23" s="257">
        <v>113999.95277009411</v>
      </c>
      <c r="P23" s="257">
        <v>3724107.6112967753</v>
      </c>
      <c r="Q23" s="258">
        <v>162200.78716886745</v>
      </c>
      <c r="R23" s="258">
        <v>360.39625966114863</v>
      </c>
      <c r="S23" s="258">
        <v>0</v>
      </c>
      <c r="T23" s="257">
        <v>23742.428245022977</v>
      </c>
      <c r="U23" s="257">
        <v>0</v>
      </c>
      <c r="V23" s="257">
        <v>4177.5270200851664</v>
      </c>
      <c r="W23" s="257">
        <v>0</v>
      </c>
      <c r="X23" s="257">
        <v>650372.22755506483</v>
      </c>
      <c r="Y23" s="257">
        <v>0</v>
      </c>
    </row>
    <row r="24" spans="3:27" x14ac:dyDescent="0.25">
      <c r="E24" s="32"/>
      <c r="F24" s="72" t="s">
        <v>212</v>
      </c>
      <c r="G24" s="72" t="s">
        <v>212</v>
      </c>
      <c r="J24" s="257">
        <v>2477513.7178437123</v>
      </c>
      <c r="K24" s="257">
        <v>0</v>
      </c>
      <c r="L24" s="257">
        <v>185569.60899648417</v>
      </c>
      <c r="M24" s="257">
        <v>0</v>
      </c>
      <c r="N24" s="257">
        <v>15340.276254392342</v>
      </c>
      <c r="O24" s="257">
        <v>459.27543026736708</v>
      </c>
      <c r="P24" s="257">
        <v>3354.375620826745</v>
      </c>
      <c r="Q24" s="257">
        <v>31.606325583497927</v>
      </c>
      <c r="R24" s="257">
        <v>0</v>
      </c>
      <c r="S24" s="257">
        <v>0</v>
      </c>
      <c r="T24" s="257">
        <v>737.24112185551337</v>
      </c>
      <c r="U24" s="257">
        <v>0</v>
      </c>
      <c r="V24" s="257">
        <v>52.799295590310457</v>
      </c>
      <c r="W24" s="257">
        <v>0</v>
      </c>
      <c r="X24" s="257">
        <v>465.20466013888074</v>
      </c>
      <c r="Y24" s="257">
        <v>0</v>
      </c>
    </row>
    <row r="25" spans="3:27" x14ac:dyDescent="0.25">
      <c r="E25" s="32"/>
      <c r="F25" s="72" t="s">
        <v>250</v>
      </c>
      <c r="G25" s="72" t="s">
        <v>251</v>
      </c>
      <c r="J25" s="79"/>
      <c r="K25" s="79"/>
      <c r="L25" s="79"/>
      <c r="M25" s="79"/>
      <c r="N25" s="257">
        <v>2030032.333333334</v>
      </c>
      <c r="O25" s="257">
        <v>145993.66666666666</v>
      </c>
      <c r="P25" s="257">
        <v>2724720.666666666</v>
      </c>
      <c r="Q25" s="79"/>
      <c r="R25" s="79"/>
      <c r="S25" s="79"/>
      <c r="T25" s="79"/>
      <c r="U25" s="79"/>
      <c r="V25" s="79"/>
      <c r="W25" s="79"/>
      <c r="X25" s="79"/>
      <c r="Y25" s="79"/>
    </row>
    <row r="26" spans="3:27" x14ac:dyDescent="0.25">
      <c r="E26" s="32"/>
      <c r="F26" s="72" t="s">
        <v>252</v>
      </c>
      <c r="G26" s="72" t="s">
        <v>251</v>
      </c>
      <c r="J26" s="79"/>
      <c r="K26" s="79"/>
      <c r="L26" s="79"/>
      <c r="M26" s="79"/>
      <c r="N26" s="257">
        <v>35413.466622889064</v>
      </c>
      <c r="O26" s="257">
        <v>2300.8761139243957</v>
      </c>
      <c r="P26" s="257">
        <v>45458.070512389117</v>
      </c>
      <c r="Q26" s="79"/>
      <c r="R26" s="79"/>
      <c r="S26" s="79"/>
      <c r="T26" s="79"/>
      <c r="U26" s="79"/>
      <c r="V26" s="79"/>
      <c r="W26" s="79"/>
      <c r="X26" s="79"/>
      <c r="Y26" s="79"/>
    </row>
    <row r="27" spans="3:27" x14ac:dyDescent="0.25">
      <c r="E27" s="32"/>
      <c r="F27" s="80" t="s">
        <v>253</v>
      </c>
      <c r="G27" s="80" t="s">
        <v>254</v>
      </c>
      <c r="H27" s="37"/>
      <c r="I27" s="37"/>
      <c r="J27" s="81"/>
      <c r="K27" s="81"/>
      <c r="L27" s="81"/>
      <c r="M27" s="81"/>
      <c r="N27" s="259">
        <v>358169.51540509035</v>
      </c>
      <c r="O27" s="259">
        <v>30403.575649655326</v>
      </c>
      <c r="P27" s="259">
        <v>596771.25085227774</v>
      </c>
      <c r="Q27" s="81"/>
      <c r="R27" s="81"/>
      <c r="S27" s="81"/>
      <c r="T27" s="259">
        <v>3718.6903349793351</v>
      </c>
      <c r="U27" s="81"/>
      <c r="V27" s="259">
        <v>530.87127369074199</v>
      </c>
      <c r="W27" s="81"/>
      <c r="X27" s="259">
        <v>17917.3014398864</v>
      </c>
      <c r="Y27" s="81"/>
    </row>
    <row r="28" spans="3:27" s="261" customFormat="1" x14ac:dyDescent="0.25">
      <c r="E28" s="262"/>
      <c r="F28" s="239"/>
      <c r="G28" s="239"/>
      <c r="J28" s="263"/>
      <c r="K28" s="263"/>
      <c r="L28" s="263"/>
      <c r="M28" s="263"/>
      <c r="N28" s="264"/>
      <c r="O28" s="264"/>
      <c r="P28" s="264"/>
      <c r="Q28" s="263"/>
      <c r="R28" s="263"/>
      <c r="S28" s="263"/>
      <c r="T28" s="264"/>
      <c r="U28" s="263"/>
      <c r="V28" s="264"/>
      <c r="W28" s="263"/>
      <c r="X28" s="264"/>
      <c r="Y28" s="263"/>
    </row>
    <row r="29" spans="3:27" x14ac:dyDescent="0.25">
      <c r="E29" s="32" t="s">
        <v>255</v>
      </c>
      <c r="G29" s="80"/>
      <c r="H29" s="37"/>
      <c r="I29" t="s">
        <v>154</v>
      </c>
      <c r="J29" s="82"/>
      <c r="K29" s="82"/>
      <c r="L29" s="82"/>
      <c r="M29" s="82"/>
      <c r="N29" s="82"/>
      <c r="O29" s="82"/>
      <c r="P29" s="82"/>
      <c r="Q29" s="82"/>
      <c r="R29" s="82"/>
      <c r="S29" s="82"/>
      <c r="T29" s="82"/>
      <c r="U29" s="82"/>
      <c r="V29" s="82"/>
      <c r="W29" s="82"/>
      <c r="X29" s="82"/>
      <c r="Y29" s="82"/>
      <c r="AA29" t="s">
        <v>246</v>
      </c>
    </row>
    <row r="30" spans="3:27" x14ac:dyDescent="0.25">
      <c r="E30" s="32"/>
      <c r="F30" s="78" t="s">
        <v>247</v>
      </c>
      <c r="G30" s="72" t="s">
        <v>207</v>
      </c>
      <c r="I30" s="23"/>
      <c r="J30" s="256">
        <v>13094.198445379177</v>
      </c>
      <c r="K30" s="256">
        <v>0</v>
      </c>
      <c r="L30" s="256">
        <v>453.23891000724058</v>
      </c>
      <c r="M30" s="256">
        <v>0</v>
      </c>
      <c r="N30" s="256">
        <v>1820.076548773663</v>
      </c>
      <c r="O30" s="83"/>
      <c r="P30" s="83"/>
      <c r="Q30" s="256">
        <v>11.434200166760402</v>
      </c>
      <c r="R30" s="256">
        <v>1.79133780607139</v>
      </c>
      <c r="S30" s="83"/>
      <c r="T30" s="256">
        <v>0</v>
      </c>
      <c r="U30" s="83"/>
      <c r="V30" s="83"/>
      <c r="W30" s="83"/>
      <c r="X30" s="83"/>
      <c r="Y30" s="83"/>
    </row>
    <row r="31" spans="3:27" x14ac:dyDescent="0.25">
      <c r="E31" s="32"/>
      <c r="F31" s="72" t="s">
        <v>248</v>
      </c>
      <c r="G31" s="72" t="s">
        <v>207</v>
      </c>
      <c r="J31" s="257">
        <v>37530.497367451906</v>
      </c>
      <c r="K31" s="257">
        <v>0</v>
      </c>
      <c r="L31" s="257">
        <v>1957.0306683909123</v>
      </c>
      <c r="M31" s="257">
        <v>0</v>
      </c>
      <c r="N31" s="257">
        <v>6832.3555270600609</v>
      </c>
      <c r="O31" s="79"/>
      <c r="P31" s="79"/>
      <c r="Q31" s="258">
        <v>133.52332608419727</v>
      </c>
      <c r="R31" s="258">
        <v>8.5479186479091283</v>
      </c>
      <c r="S31" s="79"/>
      <c r="T31" s="257">
        <v>0</v>
      </c>
      <c r="U31" s="79"/>
      <c r="V31" s="79"/>
      <c r="W31" s="79"/>
      <c r="X31" s="79"/>
      <c r="Y31" s="79"/>
    </row>
    <row r="32" spans="3:27" x14ac:dyDescent="0.25">
      <c r="E32" s="32"/>
      <c r="F32" s="72" t="s">
        <v>249</v>
      </c>
      <c r="G32" s="72" t="s">
        <v>207</v>
      </c>
      <c r="J32" s="257">
        <v>56461.54537947644</v>
      </c>
      <c r="K32" s="257">
        <v>0</v>
      </c>
      <c r="L32" s="257">
        <v>1844.1067569787656</v>
      </c>
      <c r="M32" s="257">
        <v>0</v>
      </c>
      <c r="N32" s="257">
        <v>8494.7049279408293</v>
      </c>
      <c r="O32" s="79"/>
      <c r="P32" s="79"/>
      <c r="Q32" s="258">
        <v>229.75708376026876</v>
      </c>
      <c r="R32" s="258">
        <v>5.0449220883076977</v>
      </c>
      <c r="S32" s="79"/>
      <c r="T32" s="257">
        <v>0</v>
      </c>
      <c r="U32" s="79"/>
      <c r="V32" s="79"/>
      <c r="W32" s="79"/>
      <c r="X32" s="79"/>
      <c r="Y32" s="79"/>
    </row>
    <row r="33" spans="5:27" x14ac:dyDescent="0.25">
      <c r="E33" s="32"/>
      <c r="F33" s="72" t="s">
        <v>212</v>
      </c>
      <c r="G33" s="72" t="s">
        <v>212</v>
      </c>
      <c r="J33" s="257">
        <v>37750.717101212329</v>
      </c>
      <c r="K33" s="257">
        <v>0</v>
      </c>
      <c r="L33" s="257">
        <v>675.59151524793992</v>
      </c>
      <c r="M33" s="257">
        <v>0</v>
      </c>
      <c r="N33" s="257">
        <v>72.304526182405169</v>
      </c>
      <c r="O33" s="79"/>
      <c r="P33" s="79"/>
      <c r="Q33" s="257">
        <v>0</v>
      </c>
      <c r="R33" s="257">
        <v>0</v>
      </c>
      <c r="S33" s="79"/>
      <c r="T33" s="257">
        <v>0</v>
      </c>
      <c r="U33" s="79"/>
      <c r="V33" s="79"/>
      <c r="W33" s="79"/>
      <c r="X33" s="79"/>
      <c r="Y33" s="79"/>
    </row>
    <row r="34" spans="5:27" x14ac:dyDescent="0.25">
      <c r="E34" s="32"/>
      <c r="F34" s="72" t="s">
        <v>250</v>
      </c>
      <c r="G34" s="72" t="s">
        <v>251</v>
      </c>
      <c r="J34" s="79"/>
      <c r="K34" s="79"/>
      <c r="L34" s="79"/>
      <c r="M34" s="79"/>
      <c r="N34" s="257">
        <v>13243.8451044416</v>
      </c>
      <c r="O34" s="79"/>
      <c r="P34" s="79"/>
      <c r="Q34" s="79"/>
      <c r="R34" s="79"/>
      <c r="S34" s="79"/>
      <c r="T34" s="79"/>
      <c r="U34" s="79"/>
      <c r="V34" s="79"/>
      <c r="W34" s="79"/>
      <c r="X34" s="79"/>
      <c r="Y34" s="79"/>
    </row>
    <row r="35" spans="5:27" x14ac:dyDescent="0.25">
      <c r="E35" s="32"/>
      <c r="F35" s="72" t="s">
        <v>252</v>
      </c>
      <c r="G35" s="72" t="s">
        <v>251</v>
      </c>
      <c r="J35" s="79"/>
      <c r="K35" s="79"/>
      <c r="L35" s="79"/>
      <c r="M35" s="79"/>
      <c r="N35" s="257">
        <v>35.71225127183866</v>
      </c>
      <c r="O35" s="79"/>
      <c r="P35" s="79"/>
      <c r="Q35" s="79"/>
      <c r="R35" s="79"/>
      <c r="S35" s="79"/>
      <c r="T35" s="79"/>
      <c r="U35" s="79"/>
      <c r="V35" s="79"/>
      <c r="W35" s="79"/>
      <c r="X35" s="79"/>
      <c r="Y35" s="79"/>
    </row>
    <row r="36" spans="5:27" x14ac:dyDescent="0.25">
      <c r="E36" s="32"/>
      <c r="F36" s="80" t="s">
        <v>253</v>
      </c>
      <c r="G36" s="80" t="s">
        <v>254</v>
      </c>
      <c r="H36" s="37"/>
      <c r="I36" s="37"/>
      <c r="J36" s="81"/>
      <c r="K36" s="81"/>
      <c r="L36" s="81"/>
      <c r="M36" s="81"/>
      <c r="N36" s="259">
        <v>1072.5010465766684</v>
      </c>
      <c r="O36" s="81"/>
      <c r="P36" s="81"/>
      <c r="Q36" s="81"/>
      <c r="R36" s="81"/>
      <c r="S36" s="81"/>
      <c r="T36" s="259">
        <v>0</v>
      </c>
      <c r="U36" s="81"/>
      <c r="V36" s="81"/>
      <c r="W36" s="81"/>
      <c r="X36" s="81"/>
      <c r="Y36" s="81"/>
    </row>
    <row r="37" spans="5:27" s="261" customFormat="1" x14ac:dyDescent="0.25">
      <c r="E37" s="262"/>
      <c r="F37" s="239"/>
      <c r="G37" s="239"/>
      <c r="J37" s="263"/>
      <c r="K37" s="263"/>
      <c r="L37" s="263"/>
      <c r="M37" s="263"/>
      <c r="N37" s="264"/>
      <c r="O37" s="263"/>
      <c r="P37" s="263"/>
      <c r="Q37" s="263"/>
      <c r="R37" s="263"/>
      <c r="S37" s="263"/>
      <c r="T37" s="264"/>
      <c r="U37" s="263"/>
      <c r="V37" s="263"/>
      <c r="W37" s="263"/>
      <c r="X37" s="263"/>
      <c r="Y37" s="263"/>
    </row>
    <row r="38" spans="5:27" x14ac:dyDescent="0.25">
      <c r="E38" s="32" t="s">
        <v>256</v>
      </c>
      <c r="G38" s="80"/>
      <c r="H38" s="37"/>
      <c r="I38" t="s">
        <v>154</v>
      </c>
      <c r="J38" s="82"/>
      <c r="K38" s="82"/>
      <c r="L38" s="82"/>
      <c r="M38" s="82"/>
      <c r="N38" s="82"/>
      <c r="O38" s="82"/>
      <c r="P38" s="82"/>
      <c r="Q38" s="82"/>
      <c r="R38" s="82"/>
      <c r="S38" s="82"/>
      <c r="T38" s="82"/>
      <c r="U38" s="82"/>
      <c r="V38" s="82"/>
      <c r="W38" s="82"/>
      <c r="X38" s="82"/>
      <c r="Y38" s="82"/>
      <c r="AA38" t="s">
        <v>246</v>
      </c>
    </row>
    <row r="39" spans="5:27" x14ac:dyDescent="0.25">
      <c r="F39" s="78" t="s">
        <v>247</v>
      </c>
      <c r="G39" s="72" t="s">
        <v>207</v>
      </c>
      <c r="I39" s="23"/>
      <c r="J39" s="256">
        <v>28310.869161032697</v>
      </c>
      <c r="K39" s="256">
        <v>0</v>
      </c>
      <c r="L39" s="256">
        <v>2258.5058910279295</v>
      </c>
      <c r="M39" s="256">
        <v>0</v>
      </c>
      <c r="N39" s="256">
        <v>16531.881809701546</v>
      </c>
      <c r="O39" s="256">
        <v>2297.3800444570861</v>
      </c>
      <c r="P39" s="256">
        <v>9826.1069846885148</v>
      </c>
      <c r="Q39" s="256">
        <v>20.126192139443688</v>
      </c>
      <c r="R39" s="256">
        <v>0</v>
      </c>
      <c r="S39" s="256">
        <v>0</v>
      </c>
      <c r="T39" s="256">
        <v>7.1280936788464269</v>
      </c>
      <c r="U39" s="83"/>
      <c r="V39" s="256">
        <v>0</v>
      </c>
      <c r="W39" s="83"/>
      <c r="X39" s="256">
        <v>0</v>
      </c>
      <c r="Y39" s="83"/>
    </row>
    <row r="40" spans="5:27" x14ac:dyDescent="0.25">
      <c r="F40" s="72" t="s">
        <v>248</v>
      </c>
      <c r="G40" s="72" t="s">
        <v>207</v>
      </c>
      <c r="J40" s="257">
        <v>81187.993114057608</v>
      </c>
      <c r="K40" s="257">
        <v>0</v>
      </c>
      <c r="L40" s="257">
        <v>9690.745452329018</v>
      </c>
      <c r="M40" s="257">
        <v>0</v>
      </c>
      <c r="N40" s="257">
        <v>61315.145684501505</v>
      </c>
      <c r="O40" s="257">
        <v>8846.7091653079915</v>
      </c>
      <c r="P40" s="257">
        <v>34457.350474989951</v>
      </c>
      <c r="Q40" s="258">
        <v>268.42349066049343</v>
      </c>
      <c r="R40" s="258">
        <v>0</v>
      </c>
      <c r="S40" s="258">
        <v>0</v>
      </c>
      <c r="T40" s="257">
        <v>38.840689837672869</v>
      </c>
      <c r="U40" s="79"/>
      <c r="V40" s="257">
        <v>0</v>
      </c>
      <c r="W40" s="79"/>
      <c r="X40" s="257">
        <v>0</v>
      </c>
      <c r="Y40" s="79"/>
    </row>
    <row r="41" spans="5:27" x14ac:dyDescent="0.25">
      <c r="F41" s="72" t="s">
        <v>249</v>
      </c>
      <c r="G41" s="72" t="s">
        <v>207</v>
      </c>
      <c r="J41" s="257">
        <v>122440.09556967219</v>
      </c>
      <c r="K41" s="257">
        <v>0</v>
      </c>
      <c r="L41" s="257">
        <v>8744.0157201230868</v>
      </c>
      <c r="M41" s="257">
        <v>0</v>
      </c>
      <c r="N41" s="257">
        <v>76148.11170906917</v>
      </c>
      <c r="O41" s="257">
        <v>12956.12974957714</v>
      </c>
      <c r="P41" s="257">
        <v>53818.464042834421</v>
      </c>
      <c r="Q41" s="258">
        <v>487.81459259489043</v>
      </c>
      <c r="R41" s="258">
        <v>0</v>
      </c>
      <c r="S41" s="258">
        <v>0</v>
      </c>
      <c r="T41" s="257">
        <v>73.659415726650337</v>
      </c>
      <c r="U41" s="79"/>
      <c r="V41" s="257">
        <v>0</v>
      </c>
      <c r="W41" s="79"/>
      <c r="X41" s="257">
        <v>0</v>
      </c>
      <c r="Y41" s="79"/>
    </row>
    <row r="42" spans="5:27" x14ac:dyDescent="0.25">
      <c r="F42" s="72" t="s">
        <v>212</v>
      </c>
      <c r="G42" s="72" t="s">
        <v>212</v>
      </c>
      <c r="J42" s="257">
        <v>84612.642341332583</v>
      </c>
      <c r="K42" s="257">
        <v>0</v>
      </c>
      <c r="L42" s="257">
        <v>2007.1508087950704</v>
      </c>
      <c r="M42" s="257">
        <v>0</v>
      </c>
      <c r="N42" s="257">
        <v>465.73936485136232</v>
      </c>
      <c r="O42" s="257">
        <v>26.84503596609763</v>
      </c>
      <c r="P42" s="257">
        <v>45.30709916235724</v>
      </c>
      <c r="Q42" s="257">
        <v>0</v>
      </c>
      <c r="R42" s="257">
        <v>0</v>
      </c>
      <c r="S42" s="257">
        <v>0</v>
      </c>
      <c r="T42" s="257">
        <v>6.4768152573212072</v>
      </c>
      <c r="U42" s="79"/>
      <c r="V42" s="257">
        <v>0</v>
      </c>
      <c r="W42" s="79"/>
      <c r="X42" s="257">
        <v>0</v>
      </c>
      <c r="Y42" s="79"/>
    </row>
    <row r="43" spans="5:27" x14ac:dyDescent="0.25">
      <c r="F43" s="72" t="s">
        <v>250</v>
      </c>
      <c r="G43" s="72" t="s">
        <v>251</v>
      </c>
      <c r="J43" s="79"/>
      <c r="K43" s="79"/>
      <c r="L43" s="79"/>
      <c r="M43" s="79"/>
      <c r="N43" s="257">
        <v>127077.87784359198</v>
      </c>
      <c r="O43" s="257">
        <v>18844.380594708073</v>
      </c>
      <c r="P43" s="257">
        <v>68248.276149509649</v>
      </c>
      <c r="Q43" s="79"/>
      <c r="R43" s="79"/>
      <c r="S43" s="79"/>
      <c r="T43" s="79"/>
      <c r="U43" s="79"/>
      <c r="V43" s="79"/>
      <c r="W43" s="79"/>
      <c r="X43" s="79"/>
      <c r="Y43" s="79"/>
    </row>
    <row r="44" spans="5:27" x14ac:dyDescent="0.25">
      <c r="F44" s="72" t="s">
        <v>252</v>
      </c>
      <c r="G44" s="72" t="s">
        <v>251</v>
      </c>
      <c r="J44" s="79"/>
      <c r="K44" s="79"/>
      <c r="L44" s="79"/>
      <c r="M44" s="79"/>
      <c r="N44" s="257">
        <v>395.82350265804985</v>
      </c>
      <c r="O44" s="257">
        <v>81.929499611647657</v>
      </c>
      <c r="P44" s="257">
        <v>45.714720712049029</v>
      </c>
      <c r="Q44" s="79"/>
      <c r="R44" s="79"/>
      <c r="S44" s="79"/>
      <c r="T44" s="79"/>
      <c r="U44" s="79"/>
      <c r="V44" s="79"/>
      <c r="W44" s="79"/>
      <c r="X44" s="79"/>
      <c r="Y44" s="79"/>
    </row>
    <row r="45" spans="5:27" x14ac:dyDescent="0.25">
      <c r="F45" s="80" t="s">
        <v>253</v>
      </c>
      <c r="G45" s="80" t="s">
        <v>254</v>
      </c>
      <c r="H45" s="37"/>
      <c r="I45" s="37"/>
      <c r="J45" s="81"/>
      <c r="K45" s="81"/>
      <c r="L45" s="81"/>
      <c r="M45" s="81"/>
      <c r="N45" s="259">
        <v>10517.879564364226</v>
      </c>
      <c r="O45" s="259">
        <v>1752.5315182075358</v>
      </c>
      <c r="P45" s="259">
        <v>2835.3537401066042</v>
      </c>
      <c r="Q45" s="81"/>
      <c r="R45" s="81"/>
      <c r="S45" s="81"/>
      <c r="T45" s="259">
        <v>52.882358013030462</v>
      </c>
      <c r="U45" s="81"/>
      <c r="V45" s="259">
        <v>0</v>
      </c>
      <c r="W45" s="81"/>
      <c r="X45" s="259">
        <v>0</v>
      </c>
      <c r="Y45" s="81"/>
    </row>
    <row r="46" spans="5:27" x14ac:dyDescent="0.25">
      <c r="G46" s="13"/>
    </row>
    <row r="47" spans="5:27" x14ac:dyDescent="0.25">
      <c r="E47" s="32" t="s">
        <v>1048</v>
      </c>
      <c r="G47" s="13" t="s">
        <v>212</v>
      </c>
      <c r="I47" t="s">
        <v>154</v>
      </c>
      <c r="J47" s="338">
        <v>1071.1367416230769</v>
      </c>
      <c r="K47" s="342">
        <v>0</v>
      </c>
      <c r="L47" s="342">
        <v>1629.7491999315405</v>
      </c>
      <c r="M47" s="342">
        <v>0</v>
      </c>
      <c r="N47" s="342">
        <v>18.89666957410855</v>
      </c>
      <c r="O47" s="342">
        <v>0</v>
      </c>
      <c r="P47" s="342">
        <v>4.8777923316903999</v>
      </c>
      <c r="Q47" s="342">
        <v>0</v>
      </c>
      <c r="R47" s="342">
        <v>0</v>
      </c>
      <c r="S47" s="342">
        <v>0</v>
      </c>
      <c r="T47" s="342">
        <v>0</v>
      </c>
      <c r="U47" s="342">
        <v>0</v>
      </c>
      <c r="V47" s="342">
        <v>0</v>
      </c>
      <c r="W47" s="342">
        <v>0</v>
      </c>
      <c r="X47" s="342">
        <v>0</v>
      </c>
      <c r="Y47" s="342">
        <v>0</v>
      </c>
      <c r="AA47" t="s">
        <v>1072</v>
      </c>
    </row>
    <row r="48" spans="5:27" x14ac:dyDescent="0.25">
      <c r="G48" s="13"/>
    </row>
    <row r="49" spans="3:27" x14ac:dyDescent="0.25">
      <c r="C49" s="31" t="str">
        <f ca="1">INDEX('Version control'!$H$34:$H$57,MATCH($A$1,'Version control'!$F$34:$F$57,0),1)&amp;"-C: Service model asset values"</f>
        <v>Input 102-C: Service model asset values</v>
      </c>
      <c r="D49" s="31"/>
      <c r="E49" s="31"/>
      <c r="F49" s="31"/>
      <c r="G49" s="31"/>
      <c r="H49" s="31"/>
      <c r="I49" s="31"/>
      <c r="J49" s="31"/>
      <c r="K49" s="31"/>
      <c r="L49" s="31"/>
      <c r="M49" s="31"/>
      <c r="N49" s="31"/>
      <c r="O49" s="31"/>
      <c r="P49" s="31"/>
      <c r="Q49" s="31"/>
      <c r="R49" s="31"/>
      <c r="S49" s="31"/>
      <c r="T49" s="31"/>
      <c r="U49" s="31"/>
      <c r="V49" s="31"/>
      <c r="W49" s="31"/>
      <c r="X49" s="31"/>
      <c r="Y49" s="31"/>
      <c r="Z49" s="31"/>
      <c r="AA49" s="31"/>
    </row>
    <row r="50" spans="3:27" x14ac:dyDescent="0.25">
      <c r="G50" s="13"/>
    </row>
    <row r="51" spans="3:27" x14ac:dyDescent="0.25">
      <c r="D51" s="29" t="s">
        <v>258</v>
      </c>
      <c r="H51" s="63"/>
    </row>
    <row r="52" spans="3:27" x14ac:dyDescent="0.25">
      <c r="G52" s="13"/>
      <c r="I52" t="s">
        <v>154</v>
      </c>
      <c r="AA52" t="s">
        <v>259</v>
      </c>
    </row>
    <row r="53" spans="3:27" x14ac:dyDescent="0.25">
      <c r="D53" s="88"/>
      <c r="E53" t="s">
        <v>260</v>
      </c>
      <c r="G53" t="s">
        <v>261</v>
      </c>
      <c r="H53" s="51"/>
      <c r="J53" s="257">
        <v>238.55693744607416</v>
      </c>
      <c r="K53" s="79"/>
      <c r="L53" s="257">
        <v>699.48145096347423</v>
      </c>
      <c r="M53" s="79"/>
      <c r="N53" s="257">
        <v>1395.5617923497264</v>
      </c>
      <c r="O53" s="257">
        <v>1089.3859512510783</v>
      </c>
      <c r="P53" s="79"/>
      <c r="Q53" s="79"/>
      <c r="R53" s="257">
        <v>0</v>
      </c>
      <c r="S53" s="257">
        <v>0</v>
      </c>
      <c r="T53" s="257">
        <v>0</v>
      </c>
      <c r="U53" s="257">
        <v>0</v>
      </c>
      <c r="V53" s="257">
        <v>0</v>
      </c>
      <c r="W53" s="257">
        <v>0</v>
      </c>
      <c r="X53" s="79"/>
      <c r="Y53" s="79"/>
    </row>
    <row r="54" spans="3:27" x14ac:dyDescent="0.25">
      <c r="D54" s="88"/>
      <c r="E54" t="s">
        <v>262</v>
      </c>
      <c r="G54" t="s">
        <v>261</v>
      </c>
      <c r="H54" s="51"/>
      <c r="J54" s="79"/>
      <c r="K54" s="79"/>
      <c r="L54" s="79"/>
      <c r="M54" s="79"/>
      <c r="N54" s="79"/>
      <c r="O54" s="79"/>
      <c r="P54" s="257">
        <v>10057.03205953408</v>
      </c>
      <c r="Q54" s="79"/>
      <c r="R54" s="79"/>
      <c r="S54" s="79"/>
      <c r="T54" s="79"/>
      <c r="U54" s="79"/>
      <c r="V54" s="79"/>
      <c r="W54" s="79"/>
      <c r="X54" s="257">
        <v>6294.1199309749773</v>
      </c>
      <c r="Y54" s="257">
        <v>6294.1199309749773</v>
      </c>
    </row>
    <row r="55" spans="3:27" x14ac:dyDescent="0.25">
      <c r="G55" s="13"/>
      <c r="J55" s="89"/>
      <c r="K55" s="89"/>
      <c r="L55" s="89"/>
      <c r="M55" s="89"/>
      <c r="N55" s="89"/>
      <c r="O55" s="89"/>
      <c r="P55" s="89"/>
      <c r="Q55" s="89"/>
      <c r="R55" s="89"/>
      <c r="S55" s="89"/>
      <c r="T55" s="89"/>
      <c r="U55" s="89"/>
      <c r="V55" s="89"/>
      <c r="W55" s="89"/>
      <c r="X55" s="89"/>
      <c r="Y55" s="89"/>
    </row>
    <row r="56" spans="3:27" x14ac:dyDescent="0.25">
      <c r="D56" s="88"/>
      <c r="E56" t="s">
        <v>263</v>
      </c>
      <c r="G56" t="s">
        <v>264</v>
      </c>
      <c r="I56" t="s">
        <v>154</v>
      </c>
      <c r="J56" s="79"/>
      <c r="K56" s="79"/>
      <c r="L56" s="79"/>
      <c r="M56" s="79"/>
      <c r="N56" s="79"/>
      <c r="O56" s="79"/>
      <c r="P56" s="79"/>
      <c r="Q56" s="257">
        <v>269.67347789473678</v>
      </c>
      <c r="R56" s="79"/>
      <c r="S56" s="79"/>
      <c r="T56" s="79"/>
      <c r="U56" s="79"/>
      <c r="V56" s="79"/>
      <c r="W56" s="79"/>
      <c r="X56" s="79"/>
      <c r="Y56" s="79"/>
      <c r="AA56" t="s">
        <v>265</v>
      </c>
    </row>
    <row r="57" spans="3:27" x14ac:dyDescent="0.25">
      <c r="D57" s="88"/>
      <c r="J57" s="89"/>
      <c r="K57" s="89"/>
      <c r="L57" s="89"/>
      <c r="M57" s="89"/>
      <c r="N57" s="89"/>
      <c r="O57" s="89"/>
      <c r="P57" s="89"/>
      <c r="Q57" s="89"/>
      <c r="R57" s="89"/>
      <c r="S57" s="89"/>
      <c r="T57" s="89"/>
      <c r="U57" s="89"/>
      <c r="V57" s="89"/>
      <c r="W57" s="89"/>
      <c r="X57" s="89"/>
      <c r="Y57" s="89"/>
    </row>
    <row r="58" spans="3:27" x14ac:dyDescent="0.25">
      <c r="C58" s="31" t="str">
        <f ca="1">INDEX('Version control'!$H$34:$H$57,MATCH($A$1,'Version control'!$F$34:$F$57,0),1)&amp;"-D: Previous year all-the-way tariff forecast"</f>
        <v>Input 102-D: Previous year all-the-way tariff forecast</v>
      </c>
      <c r="D58" s="31"/>
      <c r="E58" s="31"/>
      <c r="F58" s="31"/>
      <c r="G58" s="31"/>
      <c r="H58" s="31"/>
      <c r="I58" s="31"/>
      <c r="J58" s="90"/>
      <c r="K58" s="90"/>
      <c r="L58" s="90"/>
      <c r="M58" s="90"/>
      <c r="N58" s="90"/>
      <c r="O58" s="90"/>
      <c r="P58" s="90"/>
      <c r="Q58" s="90"/>
      <c r="R58" s="90"/>
      <c r="S58" s="90"/>
      <c r="T58" s="90"/>
      <c r="U58" s="90"/>
      <c r="V58" s="90"/>
      <c r="W58" s="90"/>
      <c r="X58" s="90"/>
      <c r="Y58" s="90"/>
      <c r="Z58" s="31"/>
      <c r="AA58" s="31"/>
    </row>
    <row r="59" spans="3:27" x14ac:dyDescent="0.25">
      <c r="F59" s="87"/>
      <c r="G59" s="72"/>
      <c r="J59" s="89"/>
      <c r="K59" s="89"/>
      <c r="L59" s="89"/>
      <c r="M59" s="89"/>
      <c r="N59" s="89"/>
      <c r="O59" s="89"/>
      <c r="P59" s="89"/>
      <c r="Q59" s="89"/>
      <c r="R59" s="89"/>
      <c r="S59" s="89"/>
      <c r="T59" s="89"/>
      <c r="U59" s="89"/>
      <c r="V59" s="89"/>
      <c r="W59" s="89"/>
      <c r="X59" s="89"/>
      <c r="Y59" s="89"/>
    </row>
    <row r="60" spans="3:27" x14ac:dyDescent="0.25">
      <c r="D60" s="29" t="s">
        <v>266</v>
      </c>
      <c r="G60" s="13"/>
      <c r="J60" s="89"/>
      <c r="K60" s="89"/>
      <c r="L60" s="89"/>
      <c r="M60" s="89"/>
      <c r="N60" s="89"/>
      <c r="O60" s="89"/>
      <c r="P60" s="89"/>
      <c r="Q60" s="89"/>
      <c r="R60" s="89"/>
      <c r="S60" s="89"/>
      <c r="T60" s="89"/>
      <c r="U60" s="89"/>
      <c r="V60" s="89"/>
      <c r="W60" s="89"/>
      <c r="X60" s="89"/>
      <c r="Y60" s="89"/>
    </row>
    <row r="61" spans="3:27" x14ac:dyDescent="0.25">
      <c r="D61" s="91" t="s">
        <v>267</v>
      </c>
      <c r="G61" s="13"/>
      <c r="J61" s="89"/>
      <c r="K61" s="89"/>
      <c r="L61" s="89"/>
      <c r="M61" s="89"/>
      <c r="N61" s="89"/>
      <c r="O61" s="89"/>
      <c r="P61" s="89"/>
      <c r="Q61" s="89"/>
      <c r="R61" s="89"/>
      <c r="S61" s="89"/>
      <c r="T61" s="89"/>
      <c r="U61" s="89"/>
      <c r="V61" s="89"/>
      <c r="W61" s="89"/>
      <c r="X61" s="89"/>
      <c r="Y61" s="89"/>
    </row>
    <row r="62" spans="3:27" x14ac:dyDescent="0.25">
      <c r="D62" s="91"/>
      <c r="G62" s="13"/>
      <c r="J62" s="89"/>
      <c r="K62" s="89"/>
      <c r="L62" s="89"/>
      <c r="M62" s="89"/>
      <c r="N62" s="89"/>
      <c r="O62" s="89"/>
      <c r="P62" s="89"/>
      <c r="Q62" s="89"/>
      <c r="R62" s="89"/>
      <c r="S62" s="89"/>
      <c r="T62" s="89"/>
      <c r="U62" s="89"/>
      <c r="V62" s="89"/>
      <c r="W62" s="89"/>
      <c r="X62" s="89"/>
      <c r="Y62" s="89"/>
    </row>
    <row r="63" spans="3:27" x14ac:dyDescent="0.25">
      <c r="E63" s="32" t="s">
        <v>268</v>
      </c>
      <c r="G63" s="13"/>
      <c r="J63" s="89"/>
      <c r="K63" s="89"/>
      <c r="L63" s="89"/>
      <c r="M63" s="89"/>
      <c r="N63" s="89"/>
      <c r="O63" s="89"/>
      <c r="P63" s="89"/>
      <c r="Q63" s="89"/>
      <c r="R63" s="89"/>
      <c r="S63" s="89"/>
      <c r="T63" s="89"/>
      <c r="U63" s="89"/>
      <c r="V63" s="89"/>
      <c r="W63" s="89"/>
      <c r="X63" s="89"/>
      <c r="Y63" s="89"/>
    </row>
    <row r="64" spans="3:27" x14ac:dyDescent="0.25">
      <c r="F64" s="23" t="s">
        <v>156</v>
      </c>
      <c r="G64" s="23" t="s">
        <v>269</v>
      </c>
      <c r="H64" s="267"/>
      <c r="I64" s="267"/>
      <c r="J64" s="268"/>
      <c r="K64" s="268"/>
      <c r="L64" s="268"/>
      <c r="M64" s="268"/>
      <c r="N64" s="268"/>
      <c r="O64" s="268"/>
      <c r="P64" s="268"/>
      <c r="Q64" s="268"/>
      <c r="R64" s="268"/>
      <c r="S64" s="268"/>
      <c r="T64" s="268"/>
      <c r="U64" s="268"/>
      <c r="V64" s="268"/>
      <c r="W64" s="268"/>
      <c r="X64" s="268"/>
      <c r="Y64" s="268"/>
      <c r="Z64" s="269"/>
      <c r="AA64" s="269"/>
    </row>
    <row r="65" spans="2:27" x14ac:dyDescent="0.25">
      <c r="F65" t="s">
        <v>157</v>
      </c>
      <c r="G65" t="s">
        <v>269</v>
      </c>
      <c r="H65" s="269"/>
      <c r="I65" s="269"/>
      <c r="J65" s="271"/>
      <c r="K65" s="271"/>
      <c r="L65" s="271"/>
      <c r="M65" s="271"/>
      <c r="N65" s="271"/>
      <c r="O65" s="271"/>
      <c r="P65" s="271"/>
      <c r="Q65" s="272"/>
      <c r="R65" s="272"/>
      <c r="S65" s="272"/>
      <c r="T65" s="271"/>
      <c r="U65" s="271"/>
      <c r="V65" s="271"/>
      <c r="W65" s="271"/>
      <c r="X65" s="271"/>
      <c r="Y65" s="271"/>
      <c r="Z65" s="269"/>
      <c r="AA65" s="269"/>
    </row>
    <row r="66" spans="2:27" x14ac:dyDescent="0.25">
      <c r="F66" t="s">
        <v>158</v>
      </c>
      <c r="G66" t="s">
        <v>269</v>
      </c>
      <c r="H66" s="269"/>
      <c r="I66" s="269"/>
      <c r="J66" s="271"/>
      <c r="K66" s="271"/>
      <c r="L66" s="271"/>
      <c r="M66" s="271"/>
      <c r="N66" s="271"/>
      <c r="O66" s="271"/>
      <c r="P66" s="271"/>
      <c r="Q66" s="272"/>
      <c r="R66" s="272"/>
      <c r="S66" s="272"/>
      <c r="T66" s="271"/>
      <c r="U66" s="271"/>
      <c r="V66" s="271"/>
      <c r="W66" s="271"/>
      <c r="X66" s="271"/>
      <c r="Y66" s="271"/>
      <c r="Z66" s="269"/>
      <c r="AA66" s="269"/>
    </row>
    <row r="67" spans="2:27" x14ac:dyDescent="0.25">
      <c r="F67" t="s">
        <v>159</v>
      </c>
      <c r="G67" t="s">
        <v>270</v>
      </c>
      <c r="J67" s="257"/>
      <c r="K67" s="79"/>
      <c r="L67" s="257"/>
      <c r="M67" s="79"/>
      <c r="N67" s="257"/>
      <c r="O67" s="257"/>
      <c r="P67" s="257"/>
      <c r="Q67" s="79"/>
      <c r="R67" s="79"/>
      <c r="S67" s="79"/>
      <c r="T67" s="79"/>
      <c r="U67" s="79"/>
      <c r="V67" s="79"/>
      <c r="W67" s="79"/>
      <c r="X67" s="257"/>
      <c r="Y67" s="257"/>
    </row>
    <row r="68" spans="2:27" x14ac:dyDescent="0.25">
      <c r="F68" t="s">
        <v>160</v>
      </c>
      <c r="G68" t="s">
        <v>271</v>
      </c>
      <c r="J68" s="79"/>
      <c r="K68" s="79"/>
      <c r="L68" s="79"/>
      <c r="M68" s="79"/>
      <c r="N68" s="257"/>
      <c r="O68" s="257"/>
      <c r="P68" s="257"/>
      <c r="Q68" s="79"/>
      <c r="R68" s="79"/>
      <c r="S68" s="79"/>
      <c r="T68" s="79"/>
      <c r="U68" s="79"/>
      <c r="V68" s="79"/>
      <c r="W68" s="79"/>
      <c r="X68" s="79"/>
      <c r="Y68" s="79"/>
    </row>
    <row r="69" spans="2:27" x14ac:dyDescent="0.25">
      <c r="F69" t="s">
        <v>161</v>
      </c>
      <c r="G69" t="s">
        <v>271</v>
      </c>
      <c r="J69" s="79"/>
      <c r="K69" s="79"/>
      <c r="L69" s="79"/>
      <c r="M69" s="79"/>
      <c r="N69" s="257"/>
      <c r="O69" s="257"/>
      <c r="P69" s="257"/>
      <c r="Q69" s="79"/>
      <c r="R69" s="79"/>
      <c r="S69" s="79"/>
      <c r="T69" s="79"/>
      <c r="U69" s="79"/>
      <c r="V69" s="79"/>
      <c r="W69" s="79"/>
      <c r="X69" s="79"/>
      <c r="Y69" s="79"/>
    </row>
    <row r="70" spans="2:27" x14ac:dyDescent="0.25">
      <c r="F70" s="37" t="s">
        <v>162</v>
      </c>
      <c r="G70" s="37" t="s">
        <v>272</v>
      </c>
      <c r="H70" s="273"/>
      <c r="I70" s="273"/>
      <c r="J70" s="274"/>
      <c r="K70" s="274"/>
      <c r="L70" s="274"/>
      <c r="M70" s="274"/>
      <c r="N70" s="275"/>
      <c r="O70" s="275"/>
      <c r="P70" s="275"/>
      <c r="Q70" s="274"/>
      <c r="R70" s="274"/>
      <c r="S70" s="274"/>
      <c r="T70" s="275"/>
      <c r="U70" s="274"/>
      <c r="V70" s="275"/>
      <c r="W70" s="274"/>
      <c r="X70" s="275"/>
      <c r="Y70" s="274"/>
      <c r="Z70" s="269"/>
      <c r="AA70" s="269"/>
    </row>
    <row r="71" spans="2:27" x14ac:dyDescent="0.25">
      <c r="G71" s="13"/>
      <c r="J71" s="89"/>
      <c r="K71" s="89"/>
      <c r="L71" s="89"/>
      <c r="M71" s="89"/>
      <c r="N71" s="89"/>
      <c r="O71" s="89"/>
      <c r="P71" s="89"/>
      <c r="Q71" s="89"/>
      <c r="R71" s="89"/>
      <c r="S71" s="89"/>
      <c r="T71" s="89"/>
      <c r="U71" s="89"/>
      <c r="V71" s="89"/>
      <c r="W71" s="89"/>
      <c r="X71" s="89"/>
      <c r="Y71" s="89"/>
    </row>
    <row r="72" spans="2:27" x14ac:dyDescent="0.25">
      <c r="C72" s="31" t="str">
        <f ca="1">INDEX('Version control'!$H$34:$H$57,MATCH($A$1,'Version control'!$F$34:$F$57,0),1)&amp;"-E: Previous year net revenue (if known)"</f>
        <v>Input 102-E: Previous year net revenue (if known)</v>
      </c>
      <c r="D72" s="31"/>
      <c r="E72" s="31"/>
      <c r="F72" s="31"/>
      <c r="G72" s="31"/>
      <c r="H72" s="31"/>
      <c r="I72" s="31"/>
      <c r="J72" s="90"/>
      <c r="K72" s="90"/>
      <c r="L72" s="90"/>
      <c r="M72" s="90"/>
      <c r="N72" s="90"/>
      <c r="O72" s="90"/>
      <c r="P72" s="90"/>
      <c r="Q72" s="90"/>
      <c r="R72" s="90"/>
      <c r="S72" s="90"/>
      <c r="T72" s="90"/>
      <c r="U72" s="90"/>
      <c r="V72" s="90"/>
      <c r="W72" s="90"/>
      <c r="X72" s="90"/>
      <c r="Y72" s="90"/>
      <c r="Z72" s="31"/>
      <c r="AA72" s="31"/>
    </row>
    <row r="73" spans="2:27" x14ac:dyDescent="0.25">
      <c r="F73" s="87"/>
      <c r="G73" s="72"/>
      <c r="J73" s="89"/>
      <c r="K73" s="89"/>
      <c r="L73" s="89"/>
      <c r="M73" s="89"/>
      <c r="N73" s="89"/>
      <c r="O73" s="89"/>
      <c r="P73" s="89"/>
      <c r="Q73" s="89"/>
      <c r="R73" s="89"/>
      <c r="S73" s="89"/>
      <c r="T73" s="89"/>
      <c r="U73" s="89"/>
      <c r="V73" s="89"/>
      <c r="W73" s="89"/>
      <c r="X73" s="89"/>
      <c r="Y73" s="89"/>
    </row>
    <row r="74" spans="2:27" x14ac:dyDescent="0.25">
      <c r="D74" s="29" t="s">
        <v>273</v>
      </c>
      <c r="G74" s="13"/>
      <c r="J74" s="89"/>
      <c r="K74" s="89"/>
      <c r="L74" s="89"/>
      <c r="M74" s="89"/>
      <c r="N74" s="89"/>
      <c r="O74" s="89"/>
      <c r="P74" s="89"/>
      <c r="Q74" s="89"/>
      <c r="R74" s="89"/>
      <c r="S74" s="89"/>
      <c r="T74" s="89"/>
      <c r="U74" s="89"/>
      <c r="V74" s="89"/>
      <c r="W74" s="89"/>
      <c r="X74" s="89"/>
      <c r="Y74" s="89"/>
    </row>
    <row r="75" spans="2:27" x14ac:dyDescent="0.25">
      <c r="D75" s="91" t="s">
        <v>274</v>
      </c>
      <c r="G75" s="13"/>
      <c r="J75" s="89"/>
      <c r="K75" s="89"/>
      <c r="L75" s="89"/>
      <c r="M75" s="89"/>
      <c r="N75" s="89"/>
      <c r="O75" s="89"/>
      <c r="P75" s="89"/>
      <c r="Q75" s="89"/>
      <c r="R75" s="89"/>
      <c r="S75" s="89"/>
      <c r="T75" s="89"/>
      <c r="U75" s="89"/>
      <c r="V75" s="89"/>
      <c r="W75" s="89"/>
      <c r="X75" s="89"/>
      <c r="Y75" s="89"/>
    </row>
    <row r="76" spans="2:27" x14ac:dyDescent="0.25">
      <c r="D76" s="29" t="s">
        <v>275</v>
      </c>
      <c r="G76" s="13"/>
      <c r="J76" s="89"/>
      <c r="K76" s="89"/>
      <c r="L76" s="89"/>
      <c r="M76" s="89"/>
      <c r="N76" s="89"/>
      <c r="O76" s="89"/>
      <c r="P76" s="89"/>
      <c r="Q76" s="89"/>
      <c r="R76" s="89"/>
      <c r="S76" s="89"/>
      <c r="T76" s="89"/>
      <c r="U76" s="89"/>
      <c r="V76" s="89"/>
      <c r="W76" s="89"/>
      <c r="X76" s="89"/>
      <c r="Y76" s="89"/>
    </row>
    <row r="77" spans="2:27" x14ac:dyDescent="0.25">
      <c r="G77" s="13"/>
      <c r="J77" s="89"/>
      <c r="K77" s="89"/>
      <c r="L77" s="89"/>
      <c r="M77" s="89"/>
      <c r="N77" s="89"/>
      <c r="O77" s="89"/>
      <c r="P77" s="89"/>
      <c r="Q77" s="89"/>
      <c r="R77" s="89"/>
      <c r="S77" s="89"/>
      <c r="T77" s="89"/>
      <c r="U77" s="89"/>
      <c r="V77" s="89"/>
      <c r="W77" s="89"/>
      <c r="X77" s="89"/>
      <c r="Y77" s="89"/>
    </row>
    <row r="78" spans="2:27" x14ac:dyDescent="0.25">
      <c r="E78" t="s">
        <v>276</v>
      </c>
      <c r="G78" t="s">
        <v>277</v>
      </c>
      <c r="J78" s="257"/>
      <c r="K78" s="257"/>
      <c r="L78" s="257"/>
      <c r="M78" s="257"/>
      <c r="N78" s="257"/>
      <c r="O78" s="257"/>
      <c r="P78" s="257"/>
      <c r="Q78" s="257"/>
      <c r="R78" s="257"/>
      <c r="S78" s="257"/>
      <c r="T78" s="257"/>
      <c r="U78" s="257"/>
      <c r="V78" s="257"/>
      <c r="W78" s="257"/>
      <c r="X78" s="257"/>
      <c r="Y78" s="257"/>
    </row>
    <row r="79" spans="2:27" x14ac:dyDescent="0.25">
      <c r="G79" s="13"/>
    </row>
    <row r="80" spans="2:27" x14ac:dyDescent="0.25">
      <c r="B80" s="30" t="s">
        <v>231</v>
      </c>
      <c r="C80" s="30"/>
      <c r="D80" s="30"/>
      <c r="E80" s="30"/>
      <c r="F80" s="30"/>
      <c r="G80" s="92"/>
      <c r="H80" s="30"/>
      <c r="I80" s="30"/>
      <c r="J80" s="30"/>
      <c r="K80" s="30"/>
      <c r="L80" s="30"/>
      <c r="M80" s="30"/>
      <c r="N80" s="30"/>
      <c r="O80" s="30"/>
      <c r="P80" s="30"/>
      <c r="Q80" s="30"/>
      <c r="R80" s="30"/>
      <c r="S80" s="30"/>
      <c r="T80" s="30"/>
      <c r="U80" s="30"/>
      <c r="V80" s="30"/>
      <c r="W80" s="30"/>
      <c r="X80" s="30"/>
      <c r="Y80" s="30"/>
      <c r="Z80" s="30"/>
      <c r="AA80" s="30"/>
    </row>
    <row r="81" spans="2:27" x14ac:dyDescent="0.25">
      <c r="G81" s="13"/>
    </row>
    <row r="82" spans="2:27" x14ac:dyDescent="0.25">
      <c r="E82" t="s">
        <v>232</v>
      </c>
      <c r="G82" s="6" t="s">
        <v>55</v>
      </c>
      <c r="H82" s="24">
        <f t="array" ref="H82">SUM(IF(ISERROR(H13:Y79), 1))</f>
        <v>0</v>
      </c>
    </row>
    <row r="83" spans="2:27" x14ac:dyDescent="0.25">
      <c r="G83" s="13"/>
    </row>
    <row r="84" spans="2:27" x14ac:dyDescent="0.25">
      <c r="E84" t="s">
        <v>239</v>
      </c>
      <c r="G84" s="6" t="s">
        <v>55</v>
      </c>
      <c r="H84" s="26">
        <f>H82</f>
        <v>0</v>
      </c>
    </row>
    <row r="86" spans="2:27" x14ac:dyDescent="0.25">
      <c r="B86" s="30" t="s">
        <v>106</v>
      </c>
      <c r="C86" s="30"/>
      <c r="D86" s="30"/>
      <c r="E86" s="30"/>
      <c r="F86" s="30"/>
      <c r="G86" s="30"/>
      <c r="H86" s="30"/>
      <c r="I86" s="30"/>
      <c r="J86" s="30"/>
      <c r="K86" s="30"/>
      <c r="L86" s="30"/>
      <c r="M86" s="30"/>
      <c r="N86" s="30"/>
      <c r="O86" s="30"/>
      <c r="P86" s="30"/>
      <c r="Q86" s="30"/>
      <c r="R86" s="30"/>
      <c r="S86" s="30"/>
      <c r="T86" s="30"/>
      <c r="U86" s="30"/>
      <c r="V86" s="30"/>
      <c r="W86" s="30"/>
      <c r="X86" s="30"/>
      <c r="Y86" s="30"/>
      <c r="Z86" s="30"/>
      <c r="AA86" s="30"/>
    </row>
  </sheetData>
  <sheetProtection formatCells="0" formatColumns="0" formatRows="0" sort="0" autoFilter="0"/>
  <conditionalFormatting sqref="H82">
    <cfRule type="cellIs" dxfId="204" priority="90" operator="greaterThan">
      <formula>0</formula>
    </cfRule>
  </conditionalFormatting>
  <conditionalFormatting sqref="H84">
    <cfRule type="cellIs" dxfId="203" priority="68" operator="greaterThan">
      <formula>0</formula>
    </cfRule>
  </conditionalFormatting>
  <conditionalFormatting sqref="A4:I4 Z4:XFD4">
    <cfRule type="expression" dxfId="202" priority="67">
      <formula>LEFT($A$4,1) &lt;&gt; "0"</formula>
    </cfRule>
  </conditionalFormatting>
  <conditionalFormatting sqref="N4:P4">
    <cfRule type="expression" dxfId="201" priority="30">
      <formula>LEFT($A$4,1) &lt;&gt; "0"</formula>
    </cfRule>
  </conditionalFormatting>
  <conditionalFormatting sqref="L4:M4">
    <cfRule type="expression" dxfId="200" priority="26">
      <formula>LEFT($A$4,1) &lt;&gt; "0"</formula>
    </cfRule>
  </conditionalFormatting>
  <conditionalFormatting sqref="J4:K4">
    <cfRule type="expression" dxfId="199" priority="22">
      <formula>LEFT($A$4,1) &lt;&gt; "0"</formula>
    </cfRule>
  </conditionalFormatting>
  <conditionalFormatting sqref="Q4">
    <cfRule type="expression" dxfId="198" priority="18">
      <formula>LEFT($A$4,1) &lt;&gt; "0"</formula>
    </cfRule>
  </conditionalFormatting>
  <conditionalFormatting sqref="R4:S4">
    <cfRule type="expression" dxfId="197" priority="17">
      <formula>LEFT($A$4,1) &lt;&gt; "0"</formula>
    </cfRule>
  </conditionalFormatting>
  <conditionalFormatting sqref="T4:U4">
    <cfRule type="expression" dxfId="196" priority="12">
      <formula>LEFT($A$4,1) &lt;&gt; "0"</formula>
    </cfRule>
  </conditionalFormatting>
  <conditionalFormatting sqref="V4:W4">
    <cfRule type="expression" dxfId="195" priority="7">
      <formula>LEFT($A$4,1) &lt;&gt; "0"</formula>
    </cfRule>
  </conditionalFormatting>
  <conditionalFormatting sqref="X4:Y4">
    <cfRule type="expression" dxfId="194" priority="1">
      <formula>LEFT($A$4,1) &lt;&gt; "0"</formula>
    </cfRule>
  </conditionalFormatting>
  <dataValidations count="6">
    <dataValidation type="decimal" allowBlank="1" showInputMessage="1" showErrorMessage="1" errorTitle="Invalid coincidence factor" error="Invalid coincidence factor (unused cell or not between 0% and 100%)." sqref="R15:Y16 J16:Q16">
      <formula1>0</formula1>
      <formula2>1</formula2>
    </dataValidation>
    <dataValidation type="textLength" operator="equal" allowBlank="1" showInputMessage="1" showErrorMessage="1" error="This cell is not in use." sqref="Y56:Y57 Y73 Y59 Y51">
      <formula1>0</formula1>
    </dataValidation>
    <dataValidation type="decimal" operator="greaterThanOrEqual" allowBlank="1" showInputMessage="1" showErrorMessage="1" errorTitle="Invalid volume data" error="Invalid volume data (negative number or unused cell)." sqref="M67 K67 Q31:R32 J56:Y57 J51:Y51 J34:Y45 J59:Y59 J73:Y73 J21:Y30 J53:Y54">
      <formula1>0</formula1>
    </dataValidation>
    <dataValidation allowBlank="1" sqref="K68:K70 K64:K66 L64:L70 M68:M70 M64:M66 N64:Y70 J78:Y78 J64:J70"/>
    <dataValidation type="decimal" operator="greaterThanOrEqual" allowBlank="1" showInputMessage="1" showErrorMessage="1" sqref="Y15:Y45">
      <formula1>0</formula1>
    </dataValidation>
    <dataValidation type="decimal" allowBlank="1" showInputMessage="1" showErrorMessage="1" errorTitle="Invalid load factor" error="The load factor must be between 0% and 100%." sqref="J15:Q15">
      <formula1>0</formula1>
      <formula2>1</formula2>
    </dataValidation>
  </dataValidations>
  <hyperlinks>
    <hyperlink ref="B5:F5" location="'Model map'!A1" display="Click here to return to model map"/>
  </hyperlinks>
  <pageMargins left="0.70866141732283472" right="0.70866141732283472" top="0.74803149606299213" bottom="0.74803149606299213" header="0.31496062992125984" footer="0.31496062992125984"/>
  <pageSetup paperSize="8" scale="49" orientation="landscape" r:id="rId1"/>
  <headerFooter>
    <oddHeader>&amp;L&amp;A&amp;C&amp;R&amp;P of &amp;N</oddHeader>
    <oddFooter>&amp;L&amp;Z&amp;F&amp;R&amp;D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69"/>
  <sheetViews>
    <sheetView showGridLines="0" zoomScale="80" zoomScaleNormal="80" workbookViewId="0">
      <pane xSplit="9" ySplit="5" topLeftCell="J40" activePane="bottomRight" state="frozen"/>
      <selection pane="topRight"/>
      <selection pane="bottomLeft"/>
      <selection pane="bottomRight" sqref="A1:S56"/>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28515625" hidden="1"/>
  </cols>
  <sheetData>
    <row r="1" spans="1:27" s="1" customFormat="1" x14ac:dyDescent="0.25">
      <c r="A1" s="1" t="str">
        <f ca="1">MID(CELL("filename",A1),FIND("]",CELL("filename",A1))+1,255)</f>
        <v>Inputs by network level</v>
      </c>
    </row>
    <row r="2" spans="1:27" s="1" customFormat="1" x14ac:dyDescent="0.25">
      <c r="A2" s="1" t="str">
        <f>Cover!D21&amp;" - "&amp;Cover!D23</f>
        <v>WPD East Midlands - April 21 Prices</v>
      </c>
    </row>
    <row r="3" spans="1:27" s="5" customFormat="1" x14ac:dyDescent="0.25">
      <c r="A3" s="5" t="str">
        <f>Cover!D2&amp;" - "&amp;Cover!D8&amp;" v"&amp;Cover!D10&amp;" - "&amp;Cover!D19</f>
        <v>CDCM charging model - Release for charge setting v5 - 2021/22</v>
      </c>
    </row>
    <row r="4" spans="1:27" x14ac:dyDescent="0.25">
      <c r="A4" s="12" t="str">
        <f>H56 &amp; IF(H56 = 1, " issue", " issues") &amp;" identified in checks on this sheet"</f>
        <v>0 issues identified in checks on this sheet</v>
      </c>
      <c r="B4" s="13"/>
      <c r="C4" s="13"/>
      <c r="D4" s="13"/>
      <c r="E4" s="13"/>
      <c r="F4" s="13"/>
      <c r="G4" s="13"/>
      <c r="H4" s="14"/>
      <c r="I4" s="14"/>
      <c r="J4" s="13"/>
    </row>
    <row r="5" spans="1:27" x14ac:dyDescent="0.25">
      <c r="B5" s="59" t="s">
        <v>142</v>
      </c>
      <c r="C5" s="60"/>
      <c r="D5" s="60"/>
      <c r="E5" s="60"/>
      <c r="F5" s="60"/>
      <c r="G5" s="1" t="s">
        <v>143</v>
      </c>
      <c r="H5" s="93" t="s">
        <v>144</v>
      </c>
      <c r="I5" s="14"/>
      <c r="J5" s="93" t="s">
        <v>189</v>
      </c>
      <c r="K5" s="93" t="s">
        <v>191</v>
      </c>
      <c r="L5" s="93" t="s">
        <v>192</v>
      </c>
      <c r="M5" s="93" t="s">
        <v>193</v>
      </c>
      <c r="N5" s="93" t="s">
        <v>194</v>
      </c>
      <c r="O5" s="93" t="s">
        <v>195</v>
      </c>
      <c r="P5" s="93" t="s">
        <v>196</v>
      </c>
      <c r="Q5" s="93" t="s">
        <v>197</v>
      </c>
      <c r="R5" s="93" t="s">
        <v>198</v>
      </c>
      <c r="S5" s="93" t="s">
        <v>199</v>
      </c>
      <c r="U5" s="61" t="s">
        <v>145</v>
      </c>
    </row>
    <row r="7" spans="1:27" x14ac:dyDescent="0.25">
      <c r="B7" s="30" t="s">
        <v>10</v>
      </c>
      <c r="C7" s="30"/>
      <c r="D7" s="30"/>
      <c r="E7" s="30"/>
      <c r="F7" s="30"/>
      <c r="G7" s="30"/>
      <c r="H7" s="30"/>
      <c r="I7" s="30"/>
      <c r="J7" s="30"/>
      <c r="K7" s="30"/>
      <c r="L7" s="30"/>
      <c r="M7" s="30"/>
      <c r="N7" s="30"/>
      <c r="O7" s="30"/>
      <c r="P7" s="30"/>
      <c r="Q7" s="30"/>
      <c r="R7" s="30"/>
      <c r="S7" s="30"/>
      <c r="T7" s="30"/>
      <c r="U7" s="30"/>
      <c r="W7" s="30"/>
      <c r="X7" s="30"/>
      <c r="Y7" s="30"/>
      <c r="Z7" s="30"/>
      <c r="AA7" s="30"/>
    </row>
    <row r="9" spans="1:27" x14ac:dyDescent="0.25">
      <c r="C9" s="29" t="s">
        <v>278</v>
      </c>
    </row>
    <row r="11" spans="1:27" x14ac:dyDescent="0.25">
      <c r="B11" s="30" t="s">
        <v>58</v>
      </c>
      <c r="C11" s="30"/>
      <c r="D11" s="30"/>
      <c r="E11" s="30"/>
      <c r="F11" s="30"/>
      <c r="G11" s="30"/>
      <c r="H11" s="30"/>
      <c r="I11" s="30"/>
      <c r="J11" s="30"/>
      <c r="K11" s="30"/>
      <c r="L11" s="30"/>
      <c r="M11" s="30"/>
      <c r="N11" s="30"/>
      <c r="O11" s="30"/>
      <c r="P11" s="30"/>
      <c r="Q11" s="30"/>
      <c r="R11" s="30"/>
      <c r="S11" s="30"/>
      <c r="T11" s="30"/>
      <c r="U11" s="30"/>
      <c r="W11" s="30"/>
      <c r="X11" s="30"/>
      <c r="Y11" s="30"/>
      <c r="Z11" s="30"/>
      <c r="AA11" s="30"/>
    </row>
    <row r="13" spans="1:27" x14ac:dyDescent="0.25">
      <c r="C13" s="31" t="str">
        <f ca="1">INDEX('Version control'!$H$34:$H$57,MATCH($A$1,'Version control'!$F$34:$F$57,0),1)&amp;"-A: Network and load inputs"</f>
        <v>Input 103-A: Network and load inputs</v>
      </c>
      <c r="D13" s="31"/>
      <c r="E13" s="31"/>
      <c r="F13" s="31"/>
      <c r="G13" s="31"/>
      <c r="H13" s="31"/>
      <c r="I13" s="31"/>
      <c r="J13" s="31"/>
      <c r="K13" s="31"/>
      <c r="L13" s="31"/>
      <c r="M13" s="31"/>
      <c r="N13" s="31"/>
      <c r="O13" s="31"/>
      <c r="P13" s="31"/>
      <c r="Q13" s="31"/>
      <c r="R13" s="31"/>
      <c r="S13" s="31"/>
      <c r="T13" s="31"/>
      <c r="U13" s="31"/>
      <c r="W13" s="30"/>
      <c r="X13" s="30"/>
      <c r="Y13" s="30"/>
      <c r="Z13" s="30"/>
      <c r="AA13" s="30"/>
    </row>
    <row r="15" spans="1:27" x14ac:dyDescent="0.25">
      <c r="E15" s="28" t="s">
        <v>279</v>
      </c>
      <c r="G15" s="28" t="s">
        <v>167</v>
      </c>
      <c r="I15" t="s">
        <v>154</v>
      </c>
      <c r="J15" s="94"/>
      <c r="K15" s="260">
        <v>2.4713742436156094E-2</v>
      </c>
      <c r="L15" s="260">
        <v>4.5013478235986115E-2</v>
      </c>
      <c r="M15" s="94"/>
      <c r="N15" s="260">
        <v>7.9017642685410783E-2</v>
      </c>
      <c r="O15" s="94"/>
      <c r="P15" s="77"/>
      <c r="Q15" s="260">
        <v>0.34000000000000008</v>
      </c>
      <c r="R15" s="66"/>
      <c r="S15" s="66"/>
      <c r="U15" s="63" t="s">
        <v>280</v>
      </c>
    </row>
    <row r="17" spans="3:27" x14ac:dyDescent="0.25">
      <c r="E17" s="28" t="s">
        <v>281</v>
      </c>
      <c r="G17" s="28" t="s">
        <v>167</v>
      </c>
      <c r="H17" s="28"/>
      <c r="I17" s="95"/>
      <c r="J17" s="94"/>
      <c r="K17" s="66"/>
      <c r="L17" s="66"/>
      <c r="M17" s="66"/>
      <c r="N17" s="66"/>
      <c r="O17" s="66"/>
      <c r="P17" s="260">
        <v>7.5044342711319545E-2</v>
      </c>
      <c r="Q17" s="66"/>
      <c r="R17" s="66"/>
      <c r="S17" s="66"/>
    </row>
    <row r="19" spans="3:27" x14ac:dyDescent="0.25">
      <c r="E19" s="28" t="s">
        <v>282</v>
      </c>
      <c r="G19" s="28" t="s">
        <v>283</v>
      </c>
      <c r="I19" t="s">
        <v>154</v>
      </c>
      <c r="J19" s="79"/>
      <c r="K19" s="271">
        <v>1</v>
      </c>
      <c r="L19" s="271">
        <v>1.0029999999999999</v>
      </c>
      <c r="M19" s="271">
        <v>1.006</v>
      </c>
      <c r="N19" s="271">
        <v>1.014</v>
      </c>
      <c r="O19" s="271">
        <v>1.02</v>
      </c>
      <c r="P19" s="270"/>
      <c r="Q19" s="271">
        <v>1.036</v>
      </c>
      <c r="R19" s="271">
        <v>1.0469999999999999</v>
      </c>
      <c r="S19" s="271">
        <v>1.0780000000000001</v>
      </c>
      <c r="U19" s="63" t="s">
        <v>284</v>
      </c>
    </row>
    <row r="20" spans="3:27" x14ac:dyDescent="0.25">
      <c r="J20" s="89"/>
      <c r="K20" s="89"/>
      <c r="L20" s="89"/>
      <c r="M20" s="89"/>
      <c r="N20" s="89"/>
      <c r="O20" s="89"/>
      <c r="P20" s="89"/>
      <c r="Q20" s="89"/>
      <c r="R20" s="89"/>
      <c r="S20" s="89"/>
    </row>
    <row r="21" spans="3:27" x14ac:dyDescent="0.25">
      <c r="E21" s="28" t="s">
        <v>285</v>
      </c>
      <c r="G21" s="28" t="s">
        <v>286</v>
      </c>
      <c r="I21" t="s">
        <v>154</v>
      </c>
      <c r="J21" s="79"/>
      <c r="K21" s="257">
        <v>0.22319878444551805</v>
      </c>
      <c r="L21" s="257">
        <v>0.22319878444551805</v>
      </c>
      <c r="M21" s="257">
        <v>0.22319878444551805</v>
      </c>
      <c r="N21" s="257">
        <v>0.22319878444551805</v>
      </c>
      <c r="O21" s="257">
        <v>0.22319878444551805</v>
      </c>
      <c r="P21" s="257">
        <v>0.22319878444551805</v>
      </c>
      <c r="Q21" s="257">
        <v>0.22319878444551805</v>
      </c>
      <c r="R21" s="257">
        <v>0.22319878444551805</v>
      </c>
      <c r="S21" s="257">
        <v>0.22319878444551805</v>
      </c>
      <c r="U21" s="63" t="s">
        <v>287</v>
      </c>
    </row>
    <row r="23" spans="3:27" x14ac:dyDescent="0.25">
      <c r="C23" s="31" t="str">
        <f ca="1">INDEX('Version control'!$H$34:$H$57,MATCH($A$1,'Version control'!$F$34:$F$57,0),1)&amp;"-B: Customer contributions under current connection charging policy"</f>
        <v>Input 103-B: Customer contributions under current connection charging policy</v>
      </c>
      <c r="D23" s="31"/>
      <c r="E23" s="31"/>
      <c r="F23" s="31"/>
      <c r="G23" s="31"/>
      <c r="H23" s="31"/>
      <c r="I23" s="31"/>
      <c r="J23" s="31"/>
      <c r="K23" s="31"/>
      <c r="L23" s="31"/>
      <c r="M23" s="31"/>
      <c r="N23" s="31"/>
      <c r="O23" s="31"/>
      <c r="P23" s="31"/>
      <c r="Q23" s="31"/>
      <c r="R23" s="31"/>
      <c r="S23" s="31"/>
      <c r="T23" s="31"/>
      <c r="U23" s="31"/>
      <c r="W23" s="30"/>
      <c r="X23" s="30"/>
      <c r="Y23" s="30"/>
      <c r="Z23" s="30"/>
      <c r="AA23" s="30"/>
    </row>
    <row r="24" spans="3:27" x14ac:dyDescent="0.25">
      <c r="C24" s="32"/>
      <c r="I24" t="s">
        <v>154</v>
      </c>
      <c r="U24" t="s">
        <v>288</v>
      </c>
    </row>
    <row r="25" spans="3:27" x14ac:dyDescent="0.25">
      <c r="C25" s="32"/>
      <c r="E25" s="32" t="s">
        <v>289</v>
      </c>
    </row>
    <row r="26" spans="3:27" x14ac:dyDescent="0.25">
      <c r="F26" s="64" t="s">
        <v>186</v>
      </c>
      <c r="G26" s="64" t="s">
        <v>167</v>
      </c>
      <c r="H26" s="23"/>
      <c r="I26" s="23"/>
      <c r="J26" s="65"/>
      <c r="K26" s="65"/>
      <c r="L26" s="345">
        <v>0</v>
      </c>
      <c r="M26" s="345">
        <v>0</v>
      </c>
      <c r="N26" s="345">
        <v>0</v>
      </c>
      <c r="O26" s="345">
        <v>0</v>
      </c>
      <c r="P26" s="345">
        <v>0</v>
      </c>
      <c r="Q26" s="345">
        <v>0.47913351897273304</v>
      </c>
      <c r="R26" s="345">
        <v>0.70892384564689981</v>
      </c>
      <c r="S26" s="345">
        <v>0.93871417232106646</v>
      </c>
    </row>
    <row r="27" spans="3:27" x14ac:dyDescent="0.25">
      <c r="F27" s="28" t="s">
        <v>185</v>
      </c>
      <c r="G27" s="28" t="s">
        <v>167</v>
      </c>
      <c r="J27" s="66"/>
      <c r="K27" s="66"/>
      <c r="L27" s="344">
        <v>0</v>
      </c>
      <c r="M27" s="344">
        <v>0</v>
      </c>
      <c r="N27" s="344">
        <v>0</v>
      </c>
      <c r="O27" s="344">
        <v>0</v>
      </c>
      <c r="P27" s="344">
        <v>0</v>
      </c>
      <c r="Q27" s="344">
        <v>0.47913351897273304</v>
      </c>
      <c r="R27" s="344">
        <v>0.70892384564689981</v>
      </c>
      <c r="S27" s="180"/>
    </row>
    <row r="28" spans="3:27" x14ac:dyDescent="0.25">
      <c r="F28" s="28" t="s">
        <v>184</v>
      </c>
      <c r="G28" s="28" t="s">
        <v>167</v>
      </c>
      <c r="J28" s="66"/>
      <c r="K28" s="66"/>
      <c r="L28" s="344">
        <v>0</v>
      </c>
      <c r="M28" s="344">
        <v>0</v>
      </c>
      <c r="N28" s="344">
        <v>6.5420049562801799E-2</v>
      </c>
      <c r="O28" s="344">
        <v>0.35162962287700078</v>
      </c>
      <c r="P28" s="344">
        <v>0.35162962287700078</v>
      </c>
      <c r="Q28" s="344">
        <v>0.63783919619119978</v>
      </c>
      <c r="R28" s="180"/>
      <c r="S28" s="180"/>
    </row>
    <row r="29" spans="3:27" x14ac:dyDescent="0.25">
      <c r="F29" s="67" t="s">
        <v>183</v>
      </c>
      <c r="G29" s="67" t="s">
        <v>167</v>
      </c>
      <c r="H29" s="37"/>
      <c r="I29" s="37"/>
      <c r="J29" s="68"/>
      <c r="K29" s="68"/>
      <c r="L29" s="346">
        <v>0</v>
      </c>
      <c r="M29" s="346">
        <v>0</v>
      </c>
      <c r="N29" s="346">
        <v>6.5420049562801799E-2</v>
      </c>
      <c r="O29" s="346">
        <v>0.35162962287700078</v>
      </c>
      <c r="P29" s="349"/>
      <c r="Q29" s="349"/>
      <c r="R29" s="349"/>
      <c r="S29" s="349"/>
    </row>
    <row r="31" spans="3:27" x14ac:dyDescent="0.25">
      <c r="C31" s="31" t="str">
        <f ca="1">INDEX('Version control'!$H$34:$H$57,MATCH($A$1,'Version control'!$F$34:$F$57,0),1)&amp;"-C: DRM asset costs"</f>
        <v>Input 103-C: DRM asset costs</v>
      </c>
      <c r="D31" s="31"/>
      <c r="E31" s="31"/>
      <c r="F31" s="31"/>
      <c r="G31" s="31"/>
      <c r="H31" s="31"/>
      <c r="I31" s="31"/>
      <c r="J31" s="31"/>
      <c r="K31" s="31"/>
      <c r="L31" s="31"/>
      <c r="M31" s="31"/>
      <c r="N31" s="31"/>
      <c r="O31" s="31"/>
      <c r="P31" s="31"/>
      <c r="Q31" s="31"/>
      <c r="R31" s="31"/>
      <c r="S31" s="31"/>
      <c r="T31" s="31"/>
      <c r="U31" s="31"/>
      <c r="W31" s="30"/>
      <c r="X31" s="30"/>
      <c r="Y31" s="30"/>
      <c r="Z31" s="30"/>
      <c r="AA31" s="30"/>
    </row>
    <row r="33" spans="2:27" x14ac:dyDescent="0.25">
      <c r="E33" s="28" t="s">
        <v>290</v>
      </c>
      <c r="G33" s="28" t="s">
        <v>277</v>
      </c>
      <c r="I33" t="s">
        <v>154</v>
      </c>
      <c r="J33" s="79"/>
      <c r="K33" s="79"/>
      <c r="L33" s="257">
        <v>55914776.241728738</v>
      </c>
      <c r="M33" s="257">
        <v>29214948.847280525</v>
      </c>
      <c r="N33" s="257">
        <v>36091113.731190622</v>
      </c>
      <c r="O33" s="257">
        <v>58060293.782278933</v>
      </c>
      <c r="P33" s="257">
        <v>4889083.6754327994</v>
      </c>
      <c r="Q33" s="257">
        <v>133760976.37712824</v>
      </c>
      <c r="R33" s="257">
        <v>61229373.393868513</v>
      </c>
      <c r="S33" s="257">
        <v>122042790.63564707</v>
      </c>
    </row>
    <row r="35" spans="2:27" x14ac:dyDescent="0.25">
      <c r="C35" s="31" t="str">
        <f ca="1">INDEX('Version control'!$H$34:$H$57,MATCH($A$1,'Version control'!$F$34:$F$57,0),1)&amp;"-D: Peaking probabilities by network level"</f>
        <v>Input 103-D: Peaking probabilities by network level</v>
      </c>
      <c r="D35" s="31"/>
      <c r="E35" s="31"/>
      <c r="F35" s="31"/>
      <c r="G35" s="31"/>
      <c r="H35" s="31"/>
      <c r="I35" s="31"/>
      <c r="J35" s="31"/>
      <c r="K35" s="31"/>
      <c r="L35" s="31"/>
      <c r="M35" s="31"/>
      <c r="N35" s="31"/>
      <c r="O35" s="31"/>
      <c r="P35" s="31"/>
      <c r="Q35" s="31"/>
      <c r="R35" s="31"/>
      <c r="S35" s="31"/>
      <c r="T35" s="31"/>
      <c r="U35" s="31"/>
      <c r="W35" s="30"/>
      <c r="X35" s="30"/>
      <c r="Y35" s="30"/>
      <c r="Z35" s="30"/>
      <c r="AA35" s="30"/>
    </row>
    <row r="37" spans="2:27" x14ac:dyDescent="0.25">
      <c r="D37" s="29" t="s">
        <v>291</v>
      </c>
    </row>
    <row r="38" spans="2:27" x14ac:dyDescent="0.25">
      <c r="C38" s="29"/>
    </row>
    <row r="39" spans="2:27" x14ac:dyDescent="0.25">
      <c r="D39" s="32"/>
      <c r="E39" s="32" t="s">
        <v>292</v>
      </c>
      <c r="I39" t="s">
        <v>154</v>
      </c>
      <c r="U39" t="s">
        <v>293</v>
      </c>
    </row>
    <row r="40" spans="2:27" x14ac:dyDescent="0.25">
      <c r="F40" s="23" t="s">
        <v>294</v>
      </c>
      <c r="G40" s="78" t="s">
        <v>167</v>
      </c>
      <c r="H40" s="23"/>
      <c r="I40" s="23"/>
      <c r="J40" s="65"/>
      <c r="K40" s="347">
        <v>0.86380182993886667</v>
      </c>
      <c r="L40" s="347">
        <v>0.741068762730685</v>
      </c>
      <c r="M40" s="347">
        <v>0.741068762730685</v>
      </c>
      <c r="N40" s="347">
        <v>0.62268099928741061</v>
      </c>
      <c r="O40" s="347">
        <v>0.62268099928741061</v>
      </c>
      <c r="P40" s="347">
        <v>0.741068762730685</v>
      </c>
      <c r="Q40" s="347">
        <v>0.62268099928741061</v>
      </c>
      <c r="R40" s="347">
        <v>0.62268099928741061</v>
      </c>
      <c r="S40" s="347">
        <v>0.62268099928741061</v>
      </c>
    </row>
    <row r="41" spans="2:27" x14ac:dyDescent="0.25">
      <c r="F41" t="s">
        <v>295</v>
      </c>
      <c r="G41" s="72" t="s">
        <v>167</v>
      </c>
      <c r="J41" s="66"/>
      <c r="K41" s="260">
        <v>0.13619817006113336</v>
      </c>
      <c r="L41" s="260">
        <v>0.23815127009110379</v>
      </c>
      <c r="M41" s="260">
        <v>0.23815127009110379</v>
      </c>
      <c r="N41" s="260">
        <v>0.33360729355705693</v>
      </c>
      <c r="O41" s="260">
        <v>0.33360729355705693</v>
      </c>
      <c r="P41" s="260">
        <v>0.23815127009110379</v>
      </c>
      <c r="Q41" s="260">
        <v>0.33360729355705693</v>
      </c>
      <c r="R41" s="260">
        <v>0.33360729355705693</v>
      </c>
      <c r="S41" s="260">
        <v>0.33360729355705693</v>
      </c>
    </row>
    <row r="42" spans="2:27" x14ac:dyDescent="0.25">
      <c r="F42" s="37" t="s">
        <v>257</v>
      </c>
      <c r="G42" s="80" t="s">
        <v>167</v>
      </c>
      <c r="H42" s="37"/>
      <c r="I42" s="37"/>
      <c r="J42" s="68"/>
      <c r="K42" s="348">
        <v>0</v>
      </c>
      <c r="L42" s="348">
        <v>2.0779967178211251E-2</v>
      </c>
      <c r="M42" s="348">
        <v>2.0779967178211251E-2</v>
      </c>
      <c r="N42" s="348">
        <v>4.3711707155532332E-2</v>
      </c>
      <c r="O42" s="348">
        <v>4.3711707155532332E-2</v>
      </c>
      <c r="P42" s="348">
        <v>2.0779967178211251E-2</v>
      </c>
      <c r="Q42" s="348">
        <v>4.3711707155532332E-2</v>
      </c>
      <c r="R42" s="348">
        <v>4.3711707155532332E-2</v>
      </c>
      <c r="S42" s="348">
        <v>4.3711707155532332E-2</v>
      </c>
    </row>
    <row r="43" spans="2:27" x14ac:dyDescent="0.25">
      <c r="F43" s="37" t="s">
        <v>296</v>
      </c>
      <c r="G43" s="80" t="s">
        <v>167</v>
      </c>
      <c r="H43" s="37"/>
      <c r="I43" s="37"/>
      <c r="J43" s="68"/>
      <c r="K43" s="348">
        <v>0.73017949738504206</v>
      </c>
      <c r="L43" s="348">
        <v>0.71176029509313998</v>
      </c>
      <c r="M43" s="348">
        <v>0.71176029509313998</v>
      </c>
      <c r="N43" s="348">
        <v>0.60271442265322939</v>
      </c>
      <c r="O43" s="348">
        <v>0.60271442265322939</v>
      </c>
      <c r="P43" s="348">
        <v>0.71176029509313998</v>
      </c>
      <c r="Q43" s="348">
        <v>0.60271442265322939</v>
      </c>
      <c r="R43" s="348">
        <v>0.60271442265322939</v>
      </c>
      <c r="S43" s="348">
        <v>0.60271442265322939</v>
      </c>
    </row>
    <row r="45" spans="2:27" x14ac:dyDescent="0.25">
      <c r="B45" s="30" t="s">
        <v>231</v>
      </c>
      <c r="C45" s="30"/>
      <c r="D45" s="30"/>
      <c r="E45" s="30"/>
      <c r="F45" s="30"/>
      <c r="G45" s="30"/>
      <c r="H45" s="30"/>
      <c r="I45" s="30"/>
      <c r="J45" s="30"/>
      <c r="K45" s="30"/>
      <c r="L45" s="30"/>
      <c r="M45" s="30"/>
      <c r="N45" s="30"/>
      <c r="O45" s="30"/>
      <c r="P45" s="30"/>
      <c r="Q45" s="30"/>
      <c r="R45" s="30"/>
      <c r="S45" s="30"/>
      <c r="T45" s="30"/>
      <c r="U45" s="30"/>
      <c r="W45" s="30"/>
      <c r="X45" s="30"/>
      <c r="Y45" s="30"/>
      <c r="Z45" s="30"/>
      <c r="AA45" s="30"/>
    </row>
    <row r="47" spans="2:27" x14ac:dyDescent="0.25">
      <c r="E47" t="s">
        <v>232</v>
      </c>
      <c r="G47" s="6" t="s">
        <v>55</v>
      </c>
      <c r="H47" s="24">
        <f t="array" ref="H47">SUM(IF(ISERROR(H15:AA44), 1))</f>
        <v>0</v>
      </c>
    </row>
    <row r="49" spans="2:27" x14ac:dyDescent="0.25">
      <c r="E49" t="s">
        <v>297</v>
      </c>
      <c r="G49" s="6" t="s">
        <v>55</v>
      </c>
      <c r="H49" s="24">
        <f>IF(K19 = 1, 0, 1)</f>
        <v>0</v>
      </c>
    </row>
    <row r="51" spans="2:27" x14ac:dyDescent="0.25">
      <c r="E51" s="32" t="s">
        <v>298</v>
      </c>
    </row>
    <row r="52" spans="2:27" x14ac:dyDescent="0.25">
      <c r="E52" s="29" t="s">
        <v>299</v>
      </c>
    </row>
    <row r="53" spans="2:27" x14ac:dyDescent="0.25">
      <c r="F53" s="23" t="s">
        <v>300</v>
      </c>
      <c r="G53" s="73" t="s">
        <v>55</v>
      </c>
      <c r="H53" s="74">
        <f>SUM(K53:S53)</f>
        <v>0</v>
      </c>
      <c r="I53" s="23"/>
      <c r="J53" s="65"/>
      <c r="K53" s="74">
        <f>IF(ABS(SUM(K40:K42) - 1) &lt; 10^-check_decimals, 0, 1)</f>
        <v>0</v>
      </c>
      <c r="L53" s="65"/>
      <c r="M53" s="65"/>
      <c r="N53" s="74">
        <f>IF(ABS(SUM(N40:N42) - 1) &lt; 10^-check_decimals, 0, 1)</f>
        <v>0</v>
      </c>
      <c r="O53" s="74">
        <f>IF(ABS(SUM(O40:O42) - 1) &lt; 10^-check_decimals, 0, 1)</f>
        <v>0</v>
      </c>
      <c r="P53" s="65"/>
      <c r="Q53" s="74">
        <f>IF(ABS(SUM(Q40:Q42) - 1) &lt; 10^-check_decimals, 0, 1)</f>
        <v>0</v>
      </c>
      <c r="R53" s="74">
        <f>IF(ABS(SUM(R40:R42) - 1) &lt; 10^-check_decimals, 0, 1)</f>
        <v>0</v>
      </c>
      <c r="S53" s="74">
        <f>IF(ABS(SUM(S40:S42) - 1) &lt; 10^-check_decimals, 0, 1)</f>
        <v>0</v>
      </c>
    </row>
    <row r="54" spans="2:27" x14ac:dyDescent="0.25">
      <c r="F54" s="37" t="s">
        <v>192</v>
      </c>
      <c r="G54" s="50" t="s">
        <v>55</v>
      </c>
      <c r="H54" s="75">
        <f>SUM(K54:S54)</f>
        <v>0</v>
      </c>
      <c r="I54" s="37"/>
      <c r="J54" s="68"/>
      <c r="K54" s="68"/>
      <c r="L54" s="75">
        <f>IF(OR(ABS(SUM(L40:L42) - 1) &lt; 10^-check_decimals, ABS(SUM(L40:L42) - 0) &lt; 10^-check_decimals), 0, 1)</f>
        <v>0</v>
      </c>
      <c r="M54" s="75">
        <f>IF(OR(ABS(SUM(M40:M42) - 1) &lt; 10^-check_decimals, ABS(SUM(M40:M42) - 0) &lt; 10^-check_decimals), 0, 1)</f>
        <v>0</v>
      </c>
      <c r="N54" s="68"/>
      <c r="O54" s="68"/>
      <c r="P54" s="75">
        <f>IF(OR(ABS(SUM(P40:P42) - 1) &lt; 10^-check_decimals, ABS(SUM(P40:P42) - 0) &lt; 10^-check_decimals), 0, 1)</f>
        <v>0</v>
      </c>
      <c r="Q54" s="68"/>
      <c r="R54" s="68"/>
      <c r="S54" s="68"/>
    </row>
    <row r="56" spans="2:27" x14ac:dyDescent="0.25">
      <c r="E56" t="s">
        <v>239</v>
      </c>
      <c r="G56" s="6" t="s">
        <v>55</v>
      </c>
      <c r="H56" s="26">
        <f>SUM(H47:H54)</f>
        <v>0</v>
      </c>
    </row>
    <row r="58" spans="2:27" x14ac:dyDescent="0.25">
      <c r="B58" s="30" t="s">
        <v>106</v>
      </c>
      <c r="C58" s="30"/>
      <c r="D58" s="30"/>
      <c r="E58" s="30"/>
      <c r="F58" s="30"/>
      <c r="G58" s="30"/>
      <c r="H58" s="30"/>
      <c r="I58" s="30"/>
      <c r="J58" s="30"/>
      <c r="K58" s="30"/>
      <c r="L58" s="30"/>
      <c r="M58" s="30"/>
      <c r="N58" s="30"/>
      <c r="O58" s="30"/>
      <c r="P58" s="30"/>
      <c r="Q58" s="30"/>
      <c r="R58" s="30"/>
      <c r="S58" s="30"/>
      <c r="T58" s="30"/>
      <c r="U58" s="30"/>
      <c r="W58" s="30"/>
      <c r="X58" s="30"/>
      <c r="Y58" s="30"/>
      <c r="Z58" s="30"/>
      <c r="AA58" s="30"/>
    </row>
    <row r="61" spans="2:27" x14ac:dyDescent="0.25">
      <c r="K61" s="84"/>
      <c r="L61" s="84"/>
      <c r="M61" s="84"/>
      <c r="O61" s="84"/>
      <c r="P61" s="84"/>
      <c r="Q61" s="84"/>
      <c r="R61" s="84"/>
    </row>
    <row r="62" spans="2:27" x14ac:dyDescent="0.25">
      <c r="K62" s="84"/>
      <c r="L62" s="84"/>
      <c r="M62" s="84"/>
      <c r="O62" s="84"/>
      <c r="P62" s="84"/>
      <c r="Q62" s="84"/>
      <c r="R62" s="84"/>
    </row>
    <row r="63" spans="2:27" x14ac:dyDescent="0.25">
      <c r="K63" s="84"/>
      <c r="L63" s="84"/>
      <c r="M63" s="84"/>
      <c r="O63" s="84"/>
      <c r="P63" s="84"/>
      <c r="Q63" s="84"/>
      <c r="R63" s="84"/>
    </row>
    <row r="64" spans="2:27" x14ac:dyDescent="0.25">
      <c r="K64" s="84"/>
      <c r="L64" s="84"/>
      <c r="M64" s="84"/>
      <c r="O64" s="84"/>
      <c r="P64" s="84"/>
      <c r="Q64" s="84"/>
      <c r="R64" s="84"/>
    </row>
    <row r="65" spans="11:18" x14ac:dyDescent="0.25">
      <c r="K65" s="84"/>
      <c r="L65" s="84"/>
      <c r="M65" s="84"/>
      <c r="O65" s="84"/>
      <c r="P65" s="84"/>
      <c r="Q65" s="84"/>
      <c r="R65" s="84"/>
    </row>
    <row r="66" spans="11:18" x14ac:dyDescent="0.25">
      <c r="K66" s="84"/>
      <c r="L66" s="84"/>
      <c r="M66" s="84"/>
      <c r="O66" s="84"/>
      <c r="P66" s="84"/>
      <c r="Q66" s="84"/>
      <c r="R66" s="84"/>
    </row>
    <row r="67" spans="11:18" x14ac:dyDescent="0.25">
      <c r="K67" s="84"/>
      <c r="L67" s="84"/>
      <c r="M67" s="84"/>
      <c r="O67" s="84"/>
      <c r="P67" s="84"/>
      <c r="Q67" s="84"/>
      <c r="R67" s="84"/>
    </row>
    <row r="68" spans="11:18" x14ac:dyDescent="0.25">
      <c r="K68" s="84"/>
      <c r="L68" s="84"/>
      <c r="M68" s="84"/>
      <c r="O68" s="84"/>
      <c r="P68" s="84"/>
      <c r="Q68" s="84"/>
      <c r="R68" s="84"/>
    </row>
    <row r="69" spans="11:18" x14ac:dyDescent="0.25">
      <c r="K69" s="84"/>
      <c r="L69" s="84"/>
      <c r="M69" s="84"/>
      <c r="O69" s="84"/>
      <c r="P69" s="84"/>
      <c r="Q69" s="84"/>
      <c r="R69" s="84"/>
    </row>
  </sheetData>
  <sheetProtection sheet="1" objects="1" formatCells="0" formatColumns="0" formatRows="0" sort="0" autoFilter="0"/>
  <conditionalFormatting sqref="H53 K53 N53:O53">
    <cfRule type="cellIs" dxfId="193" priority="13" operator="greaterThan">
      <formula>0</formula>
    </cfRule>
  </conditionalFormatting>
  <conditionalFormatting sqref="H47">
    <cfRule type="cellIs" dxfId="192" priority="11" operator="greaterThan">
      <formula>0</formula>
    </cfRule>
  </conditionalFormatting>
  <conditionalFormatting sqref="Q53:S53">
    <cfRule type="cellIs" dxfId="191" priority="10" operator="greaterThan">
      <formula>0</formula>
    </cfRule>
  </conditionalFormatting>
  <conditionalFormatting sqref="H56">
    <cfRule type="cellIs" dxfId="190" priority="9" operator="greaterThan">
      <formula>0</formula>
    </cfRule>
  </conditionalFormatting>
  <conditionalFormatting sqref="H54">
    <cfRule type="cellIs" dxfId="189" priority="8" operator="greaterThan">
      <formula>0</formula>
    </cfRule>
  </conditionalFormatting>
  <conditionalFormatting sqref="P54">
    <cfRule type="cellIs" dxfId="188" priority="6" operator="greaterThan">
      <formula>0</formula>
    </cfRule>
  </conditionalFormatting>
  <conditionalFormatting sqref="M54">
    <cfRule type="cellIs" dxfId="187" priority="5" operator="greaterThan">
      <formula>0</formula>
    </cfRule>
  </conditionalFormatting>
  <conditionalFormatting sqref="L54">
    <cfRule type="cellIs" dxfId="186" priority="4" operator="greaterThan">
      <formula>0</formula>
    </cfRule>
  </conditionalFormatting>
  <conditionalFormatting sqref="H49">
    <cfRule type="cellIs" dxfId="185" priority="2" operator="greaterThan">
      <formula>0</formula>
    </cfRule>
  </conditionalFormatting>
  <conditionalFormatting sqref="A4:XFD4">
    <cfRule type="expression" dxfId="184" priority="1">
      <formula>LEFT($A$4,1) &lt;&gt; "0"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P17 M15 R15:S15 O15 J21">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0866141732283472" right="0.70866141732283472" top="0.74803149606299213" bottom="0.74803149606299213" header="0.31496062992125984" footer="0.31496062992125984"/>
  <pageSetup paperSize="8" scale="67" orientation="landscape" r:id="rId1"/>
  <headerFooter>
    <oddHeader>&amp;L&amp;A&amp;C&amp;R&amp;P of &amp;N</oddHeader>
    <oddFooter>&amp;L&amp;Z&amp;F&amp;R&amp;D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6"/>
  <sheetViews>
    <sheetView showGridLines="0" tabSelected="1" zoomScale="80" zoomScaleNormal="80" workbookViewId="0">
      <pane ySplit="5" topLeftCell="A45" activePane="bottomLeft" state="frozen"/>
      <selection pane="bottomLeft" activeCell="J80" sqref="J80"/>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28515625" hidden="1"/>
  </cols>
  <sheetData>
    <row r="1" spans="1:27" s="1" customFormat="1" x14ac:dyDescent="0.25">
      <c r="A1" s="1" t="str">
        <f ca="1">MID(CELL("filename",A1),FIND("]",CELL("filename",A1))+1,255)</f>
        <v>General inputs</v>
      </c>
    </row>
    <row r="2" spans="1:27" s="1" customFormat="1" x14ac:dyDescent="0.25">
      <c r="A2" s="1" t="str">
        <f>Cover!D21&amp;" - "&amp;Cover!D23</f>
        <v>WPD East Midlands - April 21 Prices</v>
      </c>
    </row>
    <row r="3" spans="1:27" s="5" customFormat="1" x14ac:dyDescent="0.25">
      <c r="A3" s="5" t="str">
        <f>Cover!D2&amp;" - "&amp;Cover!D8&amp;" v"&amp;Cover!D10&amp;" - "&amp;Cover!D19</f>
        <v>CDCM charging model - Release for charge setting v5 - 2021/22</v>
      </c>
    </row>
    <row r="4" spans="1:27" x14ac:dyDescent="0.25">
      <c r="A4" s="12" t="str">
        <f>H114 &amp; IF(H114 = 1, " issue", " issues") &amp;" identified in checks on this sheet"</f>
        <v>0 issues identified in checks on this sheet</v>
      </c>
      <c r="B4" s="13"/>
      <c r="C4" s="13"/>
      <c r="D4" s="13"/>
      <c r="E4" s="13"/>
      <c r="F4" s="13"/>
      <c r="G4" s="13"/>
      <c r="H4" s="14"/>
      <c r="I4" s="14"/>
      <c r="J4" s="13"/>
    </row>
    <row r="5" spans="1:27" x14ac:dyDescent="0.25">
      <c r="B5" s="59" t="s">
        <v>142</v>
      </c>
      <c r="C5" s="60"/>
      <c r="D5" s="60"/>
      <c r="E5" s="60"/>
      <c r="F5" s="60"/>
      <c r="G5" s="21" t="s">
        <v>143</v>
      </c>
      <c r="H5" s="93" t="s">
        <v>144</v>
      </c>
      <c r="J5" s="61" t="s">
        <v>145</v>
      </c>
    </row>
    <row r="6" spans="1:27" x14ac:dyDescent="0.25">
      <c r="G6" s="13"/>
    </row>
    <row r="7" spans="1:27" x14ac:dyDescent="0.25">
      <c r="B7" s="30" t="s">
        <v>10</v>
      </c>
      <c r="C7" s="30"/>
      <c r="D7" s="30"/>
      <c r="E7" s="30"/>
      <c r="F7" s="30"/>
      <c r="G7" s="92"/>
      <c r="H7" s="30"/>
      <c r="I7" s="30"/>
      <c r="J7" s="30"/>
      <c r="L7" s="30"/>
      <c r="M7" s="30"/>
      <c r="N7" s="30"/>
      <c r="O7" s="30"/>
      <c r="P7" s="30"/>
      <c r="Q7" s="30"/>
      <c r="R7" s="30"/>
      <c r="S7" s="30"/>
      <c r="T7" s="30"/>
      <c r="U7" s="30"/>
      <c r="V7" s="30"/>
      <c r="W7" s="30"/>
      <c r="X7" s="30"/>
      <c r="Y7" s="30"/>
      <c r="Z7" s="30"/>
      <c r="AA7" s="30"/>
    </row>
    <row r="8" spans="1:27" x14ac:dyDescent="0.25">
      <c r="G8" s="13"/>
    </row>
    <row r="9" spans="1:27" x14ac:dyDescent="0.25">
      <c r="C9" s="29" t="s">
        <v>301</v>
      </c>
      <c r="G9" s="13"/>
    </row>
    <row r="10" spans="1:27" x14ac:dyDescent="0.25">
      <c r="G10" s="13"/>
    </row>
    <row r="11" spans="1:27" x14ac:dyDescent="0.25">
      <c r="B11" s="30" t="s">
        <v>60</v>
      </c>
      <c r="C11" s="30"/>
      <c r="D11" s="30"/>
      <c r="E11" s="30"/>
      <c r="F11" s="30"/>
      <c r="G11" s="92"/>
      <c r="H11" s="30"/>
      <c r="I11" s="30"/>
      <c r="J11" s="30"/>
      <c r="L11" s="30"/>
      <c r="M11" s="30"/>
      <c r="N11" s="30"/>
      <c r="O11" s="30"/>
      <c r="P11" s="30"/>
      <c r="Q11" s="30"/>
      <c r="R11" s="30"/>
      <c r="S11" s="30"/>
      <c r="T11" s="30"/>
      <c r="U11" s="30"/>
      <c r="V11" s="30"/>
      <c r="W11" s="30"/>
      <c r="X11" s="30"/>
      <c r="Y11" s="30"/>
      <c r="Z11" s="30"/>
      <c r="AA11" s="30"/>
    </row>
    <row r="12" spans="1:27" x14ac:dyDescent="0.25">
      <c r="G12" s="13"/>
    </row>
    <row r="13" spans="1:27" x14ac:dyDescent="0.25">
      <c r="C13" s="31" t="str">
        <f ca="1">INDEX('Version control'!$H$34:$H$57,MATCH($A$1,'Version control'!$F$34:$F$57,0),1)&amp;"-A: Inputs by distribution timeband"</f>
        <v>Input 104-A: Inputs by distribution timeband</v>
      </c>
      <c r="D13" s="31"/>
      <c r="E13" s="31"/>
      <c r="F13" s="31"/>
      <c r="G13" s="96"/>
      <c r="H13" s="31"/>
      <c r="I13" s="31"/>
      <c r="J13" s="31"/>
      <c r="L13" s="30"/>
      <c r="M13" s="30"/>
      <c r="N13" s="30"/>
      <c r="O13" s="30"/>
      <c r="P13" s="30"/>
      <c r="Q13" s="30"/>
      <c r="R13" s="30"/>
      <c r="S13" s="30"/>
      <c r="T13" s="30"/>
      <c r="U13" s="30"/>
      <c r="V13" s="30"/>
      <c r="W13" s="30"/>
      <c r="X13" s="30"/>
      <c r="Y13" s="30"/>
      <c r="Z13" s="30"/>
      <c r="AA13" s="30"/>
    </row>
    <row r="14" spans="1:27" x14ac:dyDescent="0.25">
      <c r="G14" s="13"/>
    </row>
    <row r="15" spans="1:27" x14ac:dyDescent="0.25">
      <c r="D15" s="32" t="s">
        <v>302</v>
      </c>
      <c r="E15" s="32"/>
      <c r="G15" s="13"/>
      <c r="I15" t="s">
        <v>154</v>
      </c>
      <c r="J15" t="s">
        <v>303</v>
      </c>
    </row>
    <row r="16" spans="1:27" x14ac:dyDescent="0.25">
      <c r="E16" s="64" t="s">
        <v>296</v>
      </c>
      <c r="F16" s="64"/>
      <c r="G16" s="85" t="s">
        <v>304</v>
      </c>
      <c r="H16" s="256">
        <v>258</v>
      </c>
    </row>
    <row r="17" spans="3:27" x14ac:dyDescent="0.25">
      <c r="E17" s="28" t="s">
        <v>305</v>
      </c>
      <c r="F17" s="28"/>
      <c r="G17" s="13" t="s">
        <v>304</v>
      </c>
      <c r="H17" s="257">
        <v>3265.5</v>
      </c>
    </row>
    <row r="18" spans="3:27" x14ac:dyDescent="0.25">
      <c r="E18" s="67" t="s">
        <v>257</v>
      </c>
      <c r="F18" s="67"/>
      <c r="G18" s="86" t="s">
        <v>304</v>
      </c>
      <c r="H18" s="259">
        <v>5236.5</v>
      </c>
    </row>
    <row r="19" spans="3:27" x14ac:dyDescent="0.25">
      <c r="G19" s="13"/>
      <c r="H19" s="89"/>
    </row>
    <row r="20" spans="3:27" x14ac:dyDescent="0.25">
      <c r="D20" s="32" t="s">
        <v>306</v>
      </c>
      <c r="E20" s="32"/>
      <c r="G20" s="13"/>
      <c r="H20" s="89"/>
      <c r="I20" t="s">
        <v>154</v>
      </c>
      <c r="J20" t="s">
        <v>303</v>
      </c>
    </row>
    <row r="21" spans="3:27" x14ac:dyDescent="0.25">
      <c r="E21" s="23" t="s">
        <v>294</v>
      </c>
      <c r="F21" s="23"/>
      <c r="G21" s="85" t="s">
        <v>304</v>
      </c>
      <c r="H21" s="256">
        <v>783</v>
      </c>
    </row>
    <row r="22" spans="3:27" x14ac:dyDescent="0.25">
      <c r="E22" t="s">
        <v>295</v>
      </c>
      <c r="G22" s="13" t="s">
        <v>304</v>
      </c>
      <c r="H22" s="257">
        <v>2740.5</v>
      </c>
    </row>
    <row r="23" spans="3:27" x14ac:dyDescent="0.25">
      <c r="E23" s="37" t="s">
        <v>257</v>
      </c>
      <c r="F23" s="37"/>
      <c r="G23" s="86" t="s">
        <v>304</v>
      </c>
      <c r="H23" s="259">
        <v>5236.5</v>
      </c>
    </row>
    <row r="24" spans="3:27" x14ac:dyDescent="0.25">
      <c r="G24" s="13"/>
    </row>
    <row r="25" spans="3:27" x14ac:dyDescent="0.25">
      <c r="C25" s="31" t="str">
        <f ca="1">INDEX('Version control'!$H$34:$H$57,MATCH($A$1,'Version control'!$F$34:$F$57,0),1)&amp;"-B: LDNO discount inputs"</f>
        <v>Input 104-B: LDNO discount inputs</v>
      </c>
      <c r="D25" s="31"/>
      <c r="E25" s="31"/>
      <c r="F25" s="31"/>
      <c r="G25" s="96"/>
      <c r="H25" s="31"/>
      <c r="I25" s="31"/>
      <c r="J25" s="31"/>
      <c r="L25" s="30"/>
      <c r="M25" s="30"/>
      <c r="N25" s="30"/>
      <c r="O25" s="30"/>
      <c r="P25" s="30"/>
      <c r="Q25" s="30"/>
      <c r="R25" s="30"/>
      <c r="S25" s="30"/>
      <c r="T25" s="30"/>
      <c r="U25" s="30"/>
      <c r="V25" s="30"/>
      <c r="W25" s="30"/>
      <c r="X25" s="30"/>
      <c r="Y25" s="30"/>
      <c r="Z25" s="30"/>
      <c r="AA25" s="30"/>
    </row>
    <row r="26" spans="3:27" x14ac:dyDescent="0.25">
      <c r="G26" s="13"/>
    </row>
    <row r="27" spans="3:27" x14ac:dyDescent="0.25">
      <c r="D27" s="29" t="s">
        <v>307</v>
      </c>
      <c r="E27" s="29"/>
      <c r="G27" s="13"/>
    </row>
    <row r="28" spans="3:27" x14ac:dyDescent="0.25">
      <c r="D28" s="29"/>
      <c r="E28" s="29"/>
      <c r="G28" s="13"/>
    </row>
    <row r="29" spans="3:27" x14ac:dyDescent="0.25">
      <c r="D29" s="32" t="s">
        <v>308</v>
      </c>
      <c r="E29" s="32"/>
      <c r="G29" s="13"/>
      <c r="I29" t="s">
        <v>154</v>
      </c>
      <c r="J29" t="s">
        <v>309</v>
      </c>
    </row>
    <row r="30" spans="3:27" x14ac:dyDescent="0.25">
      <c r="E30" s="64" t="s">
        <v>175</v>
      </c>
      <c r="F30" s="23"/>
      <c r="G30" s="78" t="s">
        <v>167</v>
      </c>
      <c r="H30" s="347">
        <v>0.30508437792432874</v>
      </c>
      <c r="J30" s="351">
        <v>0</v>
      </c>
    </row>
    <row r="31" spans="3:27" x14ac:dyDescent="0.25">
      <c r="E31" s="28" t="s">
        <v>177</v>
      </c>
      <c r="G31" s="72" t="s">
        <v>167</v>
      </c>
      <c r="H31" s="260">
        <v>0.44780257301891147</v>
      </c>
      <c r="J31" s="351">
        <v>0</v>
      </c>
    </row>
    <row r="32" spans="3:27" x14ac:dyDescent="0.25">
      <c r="E32" s="28" t="s">
        <v>178</v>
      </c>
      <c r="G32" s="72" t="s">
        <v>167</v>
      </c>
      <c r="H32" s="260">
        <v>0.19276050688918686</v>
      </c>
      <c r="J32" s="351">
        <v>0</v>
      </c>
    </row>
    <row r="33" spans="3:27" x14ac:dyDescent="0.25">
      <c r="E33" s="67" t="s">
        <v>179</v>
      </c>
      <c r="F33" s="37"/>
      <c r="G33" s="80" t="s">
        <v>167</v>
      </c>
      <c r="H33" s="348">
        <v>8.4660626570948555E-2</v>
      </c>
      <c r="J33" s="351">
        <v>0</v>
      </c>
    </row>
    <row r="34" spans="3:27" x14ac:dyDescent="0.25">
      <c r="G34" s="13"/>
    </row>
    <row r="35" spans="3:27" x14ac:dyDescent="0.25">
      <c r="C35" s="31" t="str">
        <f ca="1">INDEX('Version control'!$H$34:$H$57,MATCH($A$1,'Version control'!$F$34:$F$57,0),1)&amp;"-C: CDCM target revenue"</f>
        <v>Input 104-C: CDCM target revenue</v>
      </c>
      <c r="D35" s="31"/>
      <c r="E35" s="31"/>
      <c r="F35" s="31"/>
      <c r="G35" s="96"/>
      <c r="H35" s="31"/>
      <c r="I35" s="31"/>
      <c r="J35" s="31"/>
      <c r="L35" s="30"/>
      <c r="M35" s="30"/>
      <c r="N35" s="30"/>
      <c r="O35" s="30"/>
      <c r="P35" s="30"/>
      <c r="Q35" s="30"/>
      <c r="R35" s="30"/>
      <c r="S35" s="30"/>
      <c r="T35" s="30"/>
      <c r="U35" s="30"/>
      <c r="V35" s="30"/>
      <c r="W35" s="30"/>
      <c r="X35" s="30"/>
      <c r="Y35" s="30"/>
      <c r="Z35" s="30"/>
      <c r="AA35" s="30"/>
    </row>
    <row r="37" spans="3:27" x14ac:dyDescent="0.25">
      <c r="D37" s="29" t="s">
        <v>310</v>
      </c>
      <c r="E37" s="29"/>
      <c r="G37" s="13"/>
      <c r="H37" s="13"/>
      <c r="I37" t="s">
        <v>154</v>
      </c>
      <c r="J37" t="s">
        <v>311</v>
      </c>
      <c r="K37" s="13"/>
      <c r="L37" s="13"/>
      <c r="M37" s="13"/>
      <c r="N37" s="13"/>
      <c r="O37" s="13"/>
      <c r="P37" s="13"/>
      <c r="Q37" s="13"/>
      <c r="R37" s="13"/>
      <c r="S37" s="13"/>
    </row>
    <row r="38" spans="3:27" x14ac:dyDescent="0.25">
      <c r="D38" s="29" t="s">
        <v>939</v>
      </c>
      <c r="E38" s="29"/>
      <c r="G38" s="13"/>
      <c r="H38" s="13"/>
      <c r="I38" s="13"/>
      <c r="J38" s="97"/>
      <c r="K38" s="13"/>
      <c r="L38" s="13"/>
      <c r="M38" s="13"/>
      <c r="N38" s="13"/>
      <c r="O38" s="13"/>
      <c r="P38" s="13"/>
      <c r="Q38" s="13"/>
      <c r="R38" s="13"/>
      <c r="S38" s="13"/>
    </row>
    <row r="39" spans="3:27" x14ac:dyDescent="0.25">
      <c r="E39" s="32"/>
    </row>
    <row r="40" spans="3:27" x14ac:dyDescent="0.25">
      <c r="E40" t="s">
        <v>312</v>
      </c>
      <c r="G40" t="s">
        <v>277</v>
      </c>
      <c r="H40" s="257">
        <v>427600000</v>
      </c>
    </row>
    <row r="41" spans="3:27" x14ac:dyDescent="0.25">
      <c r="E41" t="s">
        <v>313</v>
      </c>
      <c r="G41" t="s">
        <v>277</v>
      </c>
      <c r="H41" s="257">
        <v>-22344482.127275057</v>
      </c>
    </row>
    <row r="42" spans="3:27" x14ac:dyDescent="0.25">
      <c r="E42" t="s">
        <v>314</v>
      </c>
      <c r="G42" t="s">
        <v>277</v>
      </c>
      <c r="H42" s="257">
        <v>-3189403.8364256346</v>
      </c>
    </row>
    <row r="43" spans="3:27" x14ac:dyDescent="0.25">
      <c r="E43" s="37" t="s">
        <v>315</v>
      </c>
      <c r="F43" s="37"/>
      <c r="G43" s="37" t="s">
        <v>283</v>
      </c>
      <c r="H43" s="259">
        <v>1.2609999999999999</v>
      </c>
    </row>
    <row r="44" spans="3:27" x14ac:dyDescent="0.25">
      <c r="E44" t="s">
        <v>316</v>
      </c>
      <c r="G44" t="s">
        <v>277</v>
      </c>
      <c r="H44" s="98">
        <f>SUM(H40:H42)</f>
        <v>402066114.03629929</v>
      </c>
    </row>
    <row r="45" spans="3:27" x14ac:dyDescent="0.25">
      <c r="E45" t="s">
        <v>317</v>
      </c>
      <c r="G45" t="s">
        <v>277</v>
      </c>
      <c r="H45" s="98">
        <f>H44 * (H43 - 1)</f>
        <v>104939255.76347408</v>
      </c>
    </row>
    <row r="46" spans="3:27" x14ac:dyDescent="0.25">
      <c r="H46" s="89"/>
    </row>
    <row r="47" spans="3:27" x14ac:dyDescent="0.25">
      <c r="E47" t="s">
        <v>318</v>
      </c>
      <c r="G47" t="s">
        <v>277</v>
      </c>
      <c r="H47" s="257">
        <v>541577.734510415</v>
      </c>
    </row>
    <row r="48" spans="3:27" x14ac:dyDescent="0.25">
      <c r="E48" t="s">
        <v>319</v>
      </c>
      <c r="G48" t="s">
        <v>277</v>
      </c>
      <c r="H48" s="257">
        <v>-32389013.761314414</v>
      </c>
    </row>
    <row r="49" spans="5:8" x14ac:dyDescent="0.25">
      <c r="E49" t="s">
        <v>320</v>
      </c>
      <c r="G49" t="s">
        <v>277</v>
      </c>
      <c r="H49" s="257">
        <v>-2815404.9888559128</v>
      </c>
    </row>
    <row r="50" spans="5:8" x14ac:dyDescent="0.25">
      <c r="E50" t="s">
        <v>321</v>
      </c>
      <c r="G50" t="s">
        <v>277</v>
      </c>
      <c r="H50" s="257">
        <v>1663177.9442172523</v>
      </c>
    </row>
    <row r="51" spans="5:8" x14ac:dyDescent="0.25">
      <c r="E51" t="s">
        <v>322</v>
      </c>
      <c r="G51" t="s">
        <v>277</v>
      </c>
      <c r="H51" s="257">
        <v>874954.95476294484</v>
      </c>
    </row>
    <row r="52" spans="5:8" x14ac:dyDescent="0.25">
      <c r="E52" t="s">
        <v>323</v>
      </c>
      <c r="G52" t="s">
        <v>277</v>
      </c>
      <c r="H52" s="257">
        <v>52708.08216556671</v>
      </c>
    </row>
    <row r="53" spans="5:8" x14ac:dyDescent="0.25">
      <c r="E53" t="s">
        <v>1033</v>
      </c>
      <c r="G53" t="s">
        <v>277</v>
      </c>
      <c r="H53" s="257">
        <v>82980.666962912685</v>
      </c>
    </row>
    <row r="54" spans="5:8" x14ac:dyDescent="0.25">
      <c r="E54" t="s">
        <v>1034</v>
      </c>
      <c r="G54" t="s">
        <v>277</v>
      </c>
      <c r="H54" s="257">
        <v>1612387.7200664035</v>
      </c>
    </row>
    <row r="55" spans="5:8" x14ac:dyDescent="0.25">
      <c r="E55" s="37" t="s">
        <v>324</v>
      </c>
      <c r="F55" s="37"/>
      <c r="G55" s="37" t="s">
        <v>277</v>
      </c>
      <c r="H55" s="259">
        <v>0</v>
      </c>
    </row>
    <row r="56" spans="5:8" x14ac:dyDescent="0.25">
      <c r="E56" t="s">
        <v>325</v>
      </c>
      <c r="G56" t="s">
        <v>277</v>
      </c>
      <c r="H56" s="99">
        <f>SUM(H47:H55)</f>
        <v>-30376631.647484835</v>
      </c>
    </row>
    <row r="57" spans="5:8" x14ac:dyDescent="0.25">
      <c r="H57" s="89"/>
    </row>
    <row r="58" spans="5:8" x14ac:dyDescent="0.25">
      <c r="E58" t="s">
        <v>326</v>
      </c>
      <c r="G58" t="s">
        <v>277</v>
      </c>
      <c r="H58" s="257">
        <v>6611201.9034726601</v>
      </c>
    </row>
    <row r="59" spans="5:8" x14ac:dyDescent="0.25">
      <c r="E59" t="s">
        <v>327</v>
      </c>
      <c r="G59" t="s">
        <v>277</v>
      </c>
      <c r="H59" s="257">
        <v>19667991.875646841</v>
      </c>
    </row>
    <row r="60" spans="5:8" x14ac:dyDescent="0.25">
      <c r="E60" t="s">
        <v>328</v>
      </c>
      <c r="G60" t="s">
        <v>277</v>
      </c>
      <c r="H60" s="257">
        <v>0</v>
      </c>
    </row>
    <row r="61" spans="5:8" x14ac:dyDescent="0.25">
      <c r="E61" t="s">
        <v>329</v>
      </c>
      <c r="G61" t="s">
        <v>277</v>
      </c>
      <c r="H61" s="257">
        <v>1537977.9912733228</v>
      </c>
    </row>
    <row r="62" spans="5:8" x14ac:dyDescent="0.25">
      <c r="E62" t="s">
        <v>330</v>
      </c>
      <c r="G62" t="s">
        <v>277</v>
      </c>
      <c r="H62" s="257">
        <v>0</v>
      </c>
    </row>
    <row r="63" spans="5:8" x14ac:dyDescent="0.25">
      <c r="E63" t="s">
        <v>331</v>
      </c>
      <c r="G63" t="s">
        <v>277</v>
      </c>
      <c r="H63" s="257">
        <v>1499883.192</v>
      </c>
    </row>
    <row r="64" spans="5:8" x14ac:dyDescent="0.25">
      <c r="E64" t="s">
        <v>332</v>
      </c>
      <c r="G64" t="s">
        <v>277</v>
      </c>
      <c r="H64" s="257">
        <v>0</v>
      </c>
    </row>
    <row r="65" spans="5:10" x14ac:dyDescent="0.25">
      <c r="E65" t="s">
        <v>333</v>
      </c>
      <c r="G65" t="s">
        <v>277</v>
      </c>
      <c r="H65" s="257">
        <v>103529.17</v>
      </c>
    </row>
    <row r="66" spans="5:10" x14ac:dyDescent="0.25">
      <c r="E66" t="s">
        <v>334</v>
      </c>
      <c r="G66" t="s">
        <v>277</v>
      </c>
      <c r="H66" s="257">
        <v>0</v>
      </c>
    </row>
    <row r="67" spans="5:10" x14ac:dyDescent="0.25">
      <c r="E67" t="s">
        <v>335</v>
      </c>
      <c r="G67" t="s">
        <v>277</v>
      </c>
      <c r="H67" s="257">
        <v>0</v>
      </c>
    </row>
    <row r="68" spans="5:10" x14ac:dyDescent="0.25">
      <c r="E68" s="37" t="s">
        <v>336</v>
      </c>
      <c r="F68" s="37"/>
      <c r="G68" s="37" t="s">
        <v>277</v>
      </c>
      <c r="H68" s="259">
        <v>0</v>
      </c>
    </row>
    <row r="69" spans="5:10" x14ac:dyDescent="0.25">
      <c r="E69" t="s">
        <v>337</v>
      </c>
      <c r="G69" t="s">
        <v>277</v>
      </c>
      <c r="H69" s="98">
        <f>SUM(H58:H68)</f>
        <v>29420584.132392824</v>
      </c>
    </row>
    <row r="70" spans="5:10" x14ac:dyDescent="0.25">
      <c r="H70" s="89"/>
    </row>
    <row r="71" spans="5:10" x14ac:dyDescent="0.25">
      <c r="E71" s="37" t="s">
        <v>338</v>
      </c>
      <c r="F71" s="37"/>
      <c r="G71" s="37" t="s">
        <v>277</v>
      </c>
      <c r="H71" s="259">
        <v>8024914.621875464</v>
      </c>
    </row>
    <row r="72" spans="5:10" x14ac:dyDescent="0.25">
      <c r="E72" t="s">
        <v>339</v>
      </c>
      <c r="G72" t="s">
        <v>277</v>
      </c>
      <c r="H72" s="98">
        <f>H71 + H69 + H56 + H45 + H44</f>
        <v>514074236.90655684</v>
      </c>
    </row>
    <row r="73" spans="5:10" x14ac:dyDescent="0.25">
      <c r="H73" s="89"/>
    </row>
    <row r="74" spans="5:10" x14ac:dyDescent="0.25">
      <c r="E74" t="s">
        <v>340</v>
      </c>
      <c r="G74" t="s">
        <v>277</v>
      </c>
      <c r="H74" s="257"/>
    </row>
    <row r="75" spans="5:10" x14ac:dyDescent="0.25">
      <c r="E75" t="s">
        <v>341</v>
      </c>
      <c r="G75" t="s">
        <v>277</v>
      </c>
      <c r="H75" s="257"/>
    </row>
    <row r="76" spans="5:10" x14ac:dyDescent="0.25">
      <c r="E76" t="s">
        <v>342</v>
      </c>
      <c r="G76" t="s">
        <v>277</v>
      </c>
      <c r="H76" s="257"/>
    </row>
    <row r="77" spans="5:10" x14ac:dyDescent="0.25">
      <c r="E77" t="s">
        <v>343</v>
      </c>
      <c r="G77" t="s">
        <v>277</v>
      </c>
      <c r="H77" s="257"/>
    </row>
    <row r="78" spans="5:10" x14ac:dyDescent="0.25">
      <c r="E78" s="37" t="s">
        <v>344</v>
      </c>
      <c r="F78" s="37"/>
      <c r="G78" s="37" t="s">
        <v>277</v>
      </c>
      <c r="H78" s="259"/>
    </row>
    <row r="79" spans="5:10" x14ac:dyDescent="0.25">
      <c r="E79" s="37" t="s">
        <v>345</v>
      </c>
      <c r="F79" s="37"/>
      <c r="G79" s="37" t="s">
        <v>277</v>
      </c>
      <c r="H79" s="100">
        <f>SUM(H74:H78)</f>
        <v>0</v>
      </c>
    </row>
    <row r="80" spans="5:10" x14ac:dyDescent="0.25">
      <c r="E80" t="s">
        <v>346</v>
      </c>
      <c r="G80" t="s">
        <v>277</v>
      </c>
      <c r="H80" s="99">
        <f>H72+H79</f>
        <v>514074236.90655684</v>
      </c>
      <c r="J80" s="343">
        <v>0</v>
      </c>
    </row>
    <row r="81" spans="3:27" x14ac:dyDescent="0.25">
      <c r="H81" s="89"/>
    </row>
    <row r="82" spans="3:27" x14ac:dyDescent="0.25">
      <c r="E82" t="s">
        <v>347</v>
      </c>
      <c r="G82" t="s">
        <v>277</v>
      </c>
      <c r="H82" s="257">
        <v>11930443.024507884</v>
      </c>
      <c r="J82" s="350">
        <v>0</v>
      </c>
    </row>
    <row r="83" spans="3:27" x14ac:dyDescent="0.25">
      <c r="E83" t="s">
        <v>348</v>
      </c>
      <c r="G83" t="s">
        <v>277</v>
      </c>
      <c r="H83" s="257"/>
    </row>
    <row r="84" spans="3:27" x14ac:dyDescent="0.25">
      <c r="E84" t="s">
        <v>349</v>
      </c>
      <c r="G84" t="s">
        <v>277</v>
      </c>
      <c r="H84" s="257"/>
    </row>
    <row r="85" spans="3:27" x14ac:dyDescent="0.25">
      <c r="E85" s="37" t="s">
        <v>350</v>
      </c>
      <c r="F85" s="37"/>
      <c r="G85" s="37" t="s">
        <v>277</v>
      </c>
      <c r="H85" s="259"/>
    </row>
    <row r="86" spans="3:27" x14ac:dyDescent="0.25">
      <c r="E86" t="s">
        <v>351</v>
      </c>
      <c r="G86" t="s">
        <v>277</v>
      </c>
      <c r="H86" s="98">
        <f>SUM(H82:H85)</f>
        <v>11930443.024507884</v>
      </c>
    </row>
    <row r="87" spans="3:27" x14ac:dyDescent="0.25">
      <c r="E87" s="23" t="s">
        <v>352</v>
      </c>
      <c r="F87" s="23"/>
      <c r="G87" s="23" t="s">
        <v>277</v>
      </c>
      <c r="H87" s="101">
        <f>H80-H86</f>
        <v>502143793.88204896</v>
      </c>
    </row>
    <row r="88" spans="3:27" x14ac:dyDescent="0.25">
      <c r="H88" s="102"/>
    </row>
    <row r="89" spans="3:27" x14ac:dyDescent="0.25">
      <c r="C89" s="31" t="str">
        <f ca="1">INDEX('Version control'!$H$34:$H$57,MATCH($A$1,'Version control'!$F$34:$F$57,0),1)&amp;"-D: Financial and general assumptions"</f>
        <v>Input 104-D: Financial and general assumptions</v>
      </c>
      <c r="D89" s="31"/>
      <c r="E89" s="31"/>
      <c r="F89" s="31"/>
      <c r="G89" s="96"/>
      <c r="H89" s="31"/>
      <c r="I89" s="31"/>
      <c r="J89" s="31"/>
      <c r="L89" s="30"/>
      <c r="M89" s="30"/>
      <c r="N89" s="30"/>
      <c r="O89" s="30"/>
      <c r="P89" s="30"/>
      <c r="Q89" s="30"/>
      <c r="R89" s="30"/>
      <c r="S89" s="30"/>
      <c r="T89" s="30"/>
      <c r="U89" s="30"/>
      <c r="V89" s="30"/>
      <c r="W89" s="30"/>
      <c r="X89" s="30"/>
      <c r="Y89" s="30"/>
      <c r="Z89" s="30"/>
      <c r="AA89" s="30"/>
    </row>
    <row r="91" spans="3:27" x14ac:dyDescent="0.25">
      <c r="E91" s="28" t="s">
        <v>353</v>
      </c>
      <c r="G91" t="s">
        <v>167</v>
      </c>
      <c r="H91" s="260">
        <v>3.4099999999999998E-2</v>
      </c>
      <c r="I91" t="s">
        <v>154</v>
      </c>
      <c r="J91" s="3" t="s">
        <v>165</v>
      </c>
    </row>
    <row r="92" spans="3:27" x14ac:dyDescent="0.25">
      <c r="E92" s="28" t="s">
        <v>127</v>
      </c>
      <c r="G92" s="28" t="s">
        <v>354</v>
      </c>
      <c r="H92" s="247">
        <v>365</v>
      </c>
    </row>
    <row r="93" spans="3:27" x14ac:dyDescent="0.25">
      <c r="E93" t="s">
        <v>355</v>
      </c>
      <c r="G93" t="s">
        <v>147</v>
      </c>
      <c r="H93" s="103">
        <f>days_in_year * hours_in_day</f>
        <v>8760</v>
      </c>
    </row>
    <row r="95" spans="3:27" x14ac:dyDescent="0.25">
      <c r="C95" s="31" t="str">
        <f ca="1">INDEX('Version control'!$H$34:$H$57,MATCH($A$1,'Version control'!$F$34:$F$57,0),1)&amp;"-E: Transmission exit charges"</f>
        <v>Input 104-E: Transmission exit charges</v>
      </c>
      <c r="D95" s="31"/>
      <c r="E95" s="31"/>
      <c r="F95" s="31"/>
      <c r="G95" s="96"/>
      <c r="H95" s="31"/>
      <c r="I95" s="31"/>
      <c r="J95" s="31"/>
      <c r="L95" s="30"/>
      <c r="M95" s="30"/>
      <c r="N95" s="30"/>
      <c r="O95" s="30"/>
      <c r="P95" s="30"/>
      <c r="Q95" s="30"/>
      <c r="R95" s="30"/>
      <c r="S95" s="30"/>
      <c r="T95" s="30"/>
      <c r="U95" s="30"/>
      <c r="V95" s="30"/>
      <c r="W95" s="30"/>
      <c r="X95" s="30"/>
      <c r="Y95" s="30"/>
      <c r="Z95" s="30"/>
      <c r="AA95" s="30"/>
    </row>
    <row r="97" spans="2:27" x14ac:dyDescent="0.25">
      <c r="E97" s="28" t="s">
        <v>356</v>
      </c>
      <c r="G97" t="s">
        <v>357</v>
      </c>
      <c r="H97" s="257">
        <v>13079170.859866442</v>
      </c>
      <c r="I97" t="s">
        <v>154</v>
      </c>
      <c r="J97" t="s">
        <v>358</v>
      </c>
    </row>
    <row r="98" spans="2:27" x14ac:dyDescent="0.25">
      <c r="H98" s="89"/>
    </row>
    <row r="99" spans="2:27" x14ac:dyDescent="0.25">
      <c r="C99" s="31" t="str">
        <f ca="1">INDEX('Version control'!$H$34:$H$57,MATCH($A$1,'Version control'!$F$34:$F$57,0),1)&amp;"-F: Other expenditure"</f>
        <v>Input 104-F: Other expenditure</v>
      </c>
      <c r="D99" s="31"/>
      <c r="E99" s="31"/>
      <c r="F99" s="31"/>
      <c r="G99" s="96"/>
      <c r="H99" s="90"/>
      <c r="I99" s="31"/>
      <c r="J99" s="31"/>
      <c r="L99" s="30"/>
      <c r="M99" s="30"/>
      <c r="N99" s="30"/>
      <c r="O99" s="30"/>
      <c r="P99" s="30"/>
      <c r="Q99" s="30"/>
      <c r="R99" s="30"/>
      <c r="S99" s="30"/>
      <c r="T99" s="30"/>
      <c r="U99" s="30"/>
      <c r="V99" s="30"/>
      <c r="W99" s="30"/>
      <c r="X99" s="30"/>
      <c r="Y99" s="30"/>
      <c r="Z99" s="30"/>
      <c r="AA99" s="30"/>
    </row>
    <row r="100" spans="2:27" x14ac:dyDescent="0.25">
      <c r="H100" s="89"/>
    </row>
    <row r="101" spans="2:27" x14ac:dyDescent="0.25">
      <c r="E101" s="32" t="s">
        <v>359</v>
      </c>
      <c r="F101" s="32"/>
      <c r="H101" s="89"/>
      <c r="I101" t="s">
        <v>154</v>
      </c>
      <c r="J101" t="s">
        <v>170</v>
      </c>
    </row>
    <row r="102" spans="2:27" x14ac:dyDescent="0.25">
      <c r="F102" s="64" t="s">
        <v>360</v>
      </c>
      <c r="G102" s="23" t="s">
        <v>357</v>
      </c>
      <c r="H102" s="256">
        <v>44469072.859424919</v>
      </c>
    </row>
    <row r="103" spans="2:27" x14ac:dyDescent="0.25">
      <c r="F103" s="28" t="s">
        <v>361</v>
      </c>
      <c r="G103" t="s">
        <v>357</v>
      </c>
      <c r="H103" s="257">
        <v>144357826.6385861</v>
      </c>
      <c r="R103" s="88"/>
      <c r="S103" s="88"/>
    </row>
    <row r="104" spans="2:27" x14ac:dyDescent="0.25">
      <c r="F104" s="67" t="s">
        <v>362</v>
      </c>
      <c r="G104" s="37" t="s">
        <v>357</v>
      </c>
      <c r="H104" s="259">
        <v>32693484.429710209</v>
      </c>
      <c r="R104" s="88"/>
      <c r="S104" s="88"/>
    </row>
    <row r="106" spans="2:27" x14ac:dyDescent="0.25">
      <c r="B106" s="30" t="s">
        <v>231</v>
      </c>
      <c r="C106" s="30"/>
      <c r="D106" s="30"/>
      <c r="E106" s="30"/>
      <c r="F106" s="30"/>
      <c r="G106" s="30"/>
      <c r="H106" s="30"/>
      <c r="I106" s="30"/>
      <c r="J106" s="30"/>
      <c r="L106" s="30"/>
      <c r="M106" s="30"/>
      <c r="N106" s="30"/>
      <c r="O106" s="30"/>
      <c r="P106" s="30"/>
      <c r="Q106" s="30"/>
      <c r="R106" s="30"/>
      <c r="S106" s="30"/>
      <c r="T106" s="30"/>
      <c r="U106" s="30"/>
      <c r="V106" s="30"/>
      <c r="W106" s="30"/>
      <c r="X106" s="30"/>
      <c r="Y106" s="30"/>
      <c r="Z106" s="30"/>
      <c r="AA106" s="30"/>
    </row>
    <row r="108" spans="2:27" x14ac:dyDescent="0.25">
      <c r="E108" t="s">
        <v>232</v>
      </c>
      <c r="G108" s="6" t="s">
        <v>55</v>
      </c>
      <c r="H108" s="24">
        <f t="array" ref="H108">SUM(IF(ISERROR(H6:H105), 1))</f>
        <v>0</v>
      </c>
    </row>
    <row r="110" spans="2:27" x14ac:dyDescent="0.25">
      <c r="E110" s="32" t="s">
        <v>363</v>
      </c>
    </row>
    <row r="111" spans="2:27" x14ac:dyDescent="0.25">
      <c r="F111" s="23" t="s">
        <v>364</v>
      </c>
      <c r="G111" s="73" t="s">
        <v>55</v>
      </c>
      <c r="H111" s="74">
        <f>IF(SUM(H16:H18) = hours_in_year, 0, 1)</f>
        <v>0</v>
      </c>
    </row>
    <row r="112" spans="2:27" x14ac:dyDescent="0.25">
      <c r="F112" s="37" t="s">
        <v>365</v>
      </c>
      <c r="G112" s="50" t="s">
        <v>55</v>
      </c>
      <c r="H112" s="75">
        <f>IF(SUM(H21:H23) = hours_in_year, 0, 1)</f>
        <v>0</v>
      </c>
    </row>
    <row r="114" spans="2:27" x14ac:dyDescent="0.25">
      <c r="E114" t="s">
        <v>239</v>
      </c>
      <c r="G114" s="6" t="s">
        <v>55</v>
      </c>
      <c r="H114" s="26">
        <f>SUM(H108,H111:H112)</f>
        <v>0</v>
      </c>
    </row>
    <row r="116" spans="2:27" x14ac:dyDescent="0.25">
      <c r="B116" s="30" t="s">
        <v>106</v>
      </c>
      <c r="C116" s="30"/>
      <c r="D116" s="30"/>
      <c r="E116" s="30"/>
      <c r="F116" s="30"/>
      <c r="G116" s="30"/>
      <c r="H116" s="30"/>
      <c r="I116" s="30"/>
      <c r="J116" s="30"/>
      <c r="L116" s="30"/>
      <c r="M116" s="30"/>
      <c r="N116" s="30"/>
      <c r="O116" s="30"/>
      <c r="P116" s="30"/>
      <c r="Q116" s="30"/>
      <c r="R116" s="30"/>
      <c r="S116" s="30"/>
      <c r="T116" s="30"/>
      <c r="U116" s="30"/>
      <c r="V116" s="30"/>
      <c r="W116" s="30"/>
      <c r="X116" s="30"/>
      <c r="Y116" s="30"/>
      <c r="Z116" s="30"/>
      <c r="AA116" s="30"/>
    </row>
  </sheetData>
  <sheetProtection formatCells="0" formatColumns="0" formatRows="0" sort="0" autoFilter="0"/>
  <conditionalFormatting sqref="H108">
    <cfRule type="cellIs" dxfId="183" priority="4" operator="greaterThan">
      <formula>0</formula>
    </cfRule>
  </conditionalFormatting>
  <conditionalFormatting sqref="H111:H114">
    <cfRule type="cellIs" dxfId="182" priority="3" operator="greaterThan">
      <formula>0</formula>
    </cfRule>
  </conditionalFormatting>
  <conditionalFormatting sqref="H114">
    <cfRule type="cellIs" dxfId="181" priority="2" operator="greaterThan">
      <formula>0</formula>
    </cfRule>
  </conditionalFormatting>
  <conditionalFormatting sqref="A4:XFD4">
    <cfRule type="expression" dxfId="180" priority="1">
      <formula>LEFT($A$4,1) &lt;&gt; "0"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2">
      <formula1>365</formula1>
      <formula2>366</formula2>
    </dataValidation>
    <dataValidation type="decimal" operator="greaterThanOrEqual" allowBlank="1" showInputMessage="1" showErrorMessage="1" sqref="H102:H104 H16:H18 H97 H21:H23">
      <formula1>0</formula1>
    </dataValidation>
    <dataValidation type="decimal" operator="greaterThanOrEqual" allowBlank="1" showInputMessage="1" showErrorMessage="1" error="The rate of return must be a non-negative percentage value." sqref="H91">
      <formula1>0</formula1>
    </dataValidation>
    <dataValidation type="whole" allowBlank="1" showInputMessage="1" showErrorMessage="1" sqref="H93">
      <formula1>0</formula1>
      <formula2>9999</formula2>
    </dataValidation>
  </dataValidations>
  <hyperlinks>
    <hyperlink ref="B5:F5" location="'Model map'!A1" display="Click here to return to model map"/>
  </hyperlinks>
  <pageMargins left="0.70866141732283472" right="0.70866141732283472" top="0.74803149606299213" bottom="0.74803149606299213" header="0.31496062992125984" footer="0.31496062992125984"/>
  <pageSetup paperSize="8" scale="64" orientation="portrait" r:id="rId1"/>
  <headerFooter>
    <oddHeader>&amp;L&amp;A&amp;C&amp;R&amp;P of &amp;N</oddHeader>
    <oddFooter>&amp;L&amp;Z&amp;F&amp;R&amp;D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2" ma:contentTypeDescription="Create a new document." ma:contentTypeScope="" ma:versionID="05721c098920905ee0a7627685c8e168">
  <xsd:schema xmlns:xsd="http://www.w3.org/2001/XMLSchema" xmlns:xs="http://www.w3.org/2001/XMLSchema" xmlns:p="http://schemas.microsoft.com/office/2006/metadata/properties" xmlns:ns2="56525fcc-fd9b-4a18-b571-66fa38027e5b" targetNamespace="http://schemas.microsoft.com/office/2006/metadata/properties" ma:root="true" ma:fieldsID="738160ac3861714b7c51957dc4679198" ns2:_="">
    <xsd:import namespace="56525fcc-fd9b-4a18-b571-66fa38027e5b"/>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D94CB75-57A5-4AC1-BF92-43D7C51155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3.xml><?xml version="1.0" encoding="utf-8"?>
<ds:datastoreItem xmlns:ds="http://schemas.openxmlformats.org/officeDocument/2006/customXml" ds:itemID="{40433340-7BEC-4F3D-99D4-81DABA0ADC90}">
  <ds:schemaRefs>
    <ds:schemaRef ds:uri="http://schemas.microsoft.com/office/2006/documentManagement/types"/>
    <ds:schemaRef ds:uri="http://purl.org/dc/dcmitype/"/>
    <ds:schemaRef ds:uri="http://schemas.microsoft.com/office/infopath/2007/PartnerControls"/>
    <ds:schemaRef ds:uri="56525fcc-fd9b-4a18-b571-66fa38027e5b"/>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14</vt:i4>
      </vt:variant>
    </vt:vector>
  </HeadingPairs>
  <TitlesOfParts>
    <vt:vector size="43"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Reactive power charges</vt:lpstr>
      <vt:lpstr>Capacity charges</vt:lpstr>
      <vt:lpstr>Fixed charges</vt:lpstr>
      <vt:lpstr>Revenue matching</vt:lpstr>
      <vt:lpstr>Fixed charge adder</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'General inputs'!Print_Area</vt:lpstr>
      <vt:lpstr>'Inputs by customer type'!Print_Area</vt:lpstr>
      <vt:lpstr>'Inputs by network level'!Print_Area</vt:lpstr>
      <vt:lpstr>'Net revenue summary'!Print_Area</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cp:lastPrinted>2019-11-27T16:49:49Z</cp:lastPrinted>
  <dcterms:created xsi:type="dcterms:W3CDTF">2017-07-12T09:37:31Z</dcterms:created>
  <dcterms:modified xsi:type="dcterms:W3CDTF">2019-12-10T16:00:28Z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