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workbookProtection lockStructure="1"/>
  <bookViews>
    <workbookView xWindow="-105" yWindow="-105" windowWidth="19425" windowHeight="10425" tabRatio="870" activeTab="14"/>
  </bookViews>
  <sheets>
    <sheet name="Cover" sheetId="30" r:id="rId1"/>
    <sheet name="Version control" sheetId="33" r:id="rId2"/>
    <sheet name="Model map" sheetId="34" r:id="rId3"/>
    <sheet name="Index" sheetId="41" r:id="rId4"/>
    <sheet name="Fixed inputs" sheetId="8" r:id="rId5"/>
    <sheet name="DNO inputs" sheetId="2" r:id="rId6"/>
    <sheet name="MEAV" sheetId="15" r:id="rId7"/>
    <sheet name="Expenditure" sheetId="21" r:id="rId8"/>
    <sheet name="Expensed" sheetId="38" r:id="rId9"/>
    <sheet name="Capitalised" sheetId="20" r:id="rId10"/>
    <sheet name="Rev allocation" sheetId="22" r:id="rId11"/>
    <sheet name="Direct" sheetId="39" r:id="rId12"/>
    <sheet name="EDCM discounts" sheetId="36" r:id="rId13"/>
    <sheet name="CDCM discounts" sheetId="24" r:id="rId14"/>
    <sheet name="Output to other models" sheetId="23" r:id="rId15"/>
  </sheets>
  <definedNames>
    <definedName name="_xlnm._FilterDatabase" localSheetId="3" hidden="1">Index!$F$11:$G$40</definedName>
    <definedName name="_xlnm._FilterDatabase" localSheetId="6" hidden="1">MEAV!$B$2:$B$149</definedName>
    <definedName name="HTML_CodePage" hidden="1">1252</definedName>
    <definedName name="HTML_Control" localSheetId="0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2" i="41" l="1"/>
  <c r="G121" i="41"/>
  <c r="G120" i="41"/>
  <c r="G119" i="41"/>
  <c r="G118" i="41"/>
  <c r="G117" i="41"/>
  <c r="G116" i="41"/>
  <c r="G115" i="41"/>
  <c r="G114" i="41"/>
  <c r="G113" i="41"/>
  <c r="G112" i="41"/>
  <c r="G111" i="41"/>
  <c r="G110" i="41"/>
  <c r="G109" i="41"/>
  <c r="G108" i="41"/>
  <c r="G107" i="41"/>
  <c r="G106" i="41"/>
  <c r="G105" i="41"/>
  <c r="G104" i="41"/>
  <c r="G103" i="41"/>
  <c r="G102" i="41"/>
  <c r="G101" i="41"/>
  <c r="G100" i="41"/>
  <c r="G99" i="41"/>
  <c r="G98" i="41"/>
  <c r="G97" i="41"/>
  <c r="G96" i="41"/>
  <c r="G95" i="41"/>
  <c r="G94" i="41"/>
  <c r="G93" i="41"/>
  <c r="G92" i="41"/>
  <c r="G91" i="41"/>
  <c r="G90" i="41"/>
  <c r="G89" i="41"/>
  <c r="G88" i="41"/>
  <c r="G87" i="41"/>
  <c r="G86" i="41"/>
  <c r="G85" i="41"/>
  <c r="G84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1" i="41"/>
  <c r="G60" i="41"/>
  <c r="G59" i="41"/>
  <c r="G58" i="41"/>
  <c r="G57" i="41"/>
  <c r="G56" i="41"/>
  <c r="G55" i="41"/>
  <c r="G54" i="41"/>
  <c r="G53" i="41"/>
  <c r="G52" i="41"/>
  <c r="G51" i="41"/>
  <c r="G50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62" i="15" l="1"/>
  <c r="G62" i="38" l="1"/>
  <c r="H17" i="8" l="1"/>
  <c r="H13" i="33" l="1"/>
  <c r="AP36" i="38" l="1"/>
  <c r="AP38" i="38" s="1"/>
  <c r="AP40" i="39"/>
  <c r="E40" i="21"/>
  <c r="AQ111" i="21"/>
  <c r="AP111" i="21"/>
  <c r="AO111" i="21"/>
  <c r="AN111" i="21"/>
  <c r="AM111" i="21"/>
  <c r="AL111" i="21"/>
  <c r="AK111" i="21"/>
  <c r="AJ111" i="21"/>
  <c r="AI111" i="21"/>
  <c r="AH111" i="21"/>
  <c r="AG111" i="21"/>
  <c r="AF111" i="21"/>
  <c r="AE111" i="21"/>
  <c r="AD111" i="21"/>
  <c r="AC111" i="21"/>
  <c r="AB111" i="21"/>
  <c r="AA111" i="21"/>
  <c r="Z111" i="21"/>
  <c r="Y111" i="2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H113" i="21"/>
  <c r="E113" i="21"/>
  <c r="E66" i="21"/>
  <c r="E111" i="21"/>
  <c r="E64" i="21"/>
  <c r="H66" i="21"/>
  <c r="K111" i="21"/>
  <c r="K64" i="21"/>
  <c r="G111" i="21"/>
  <c r="AP64" i="21"/>
  <c r="AP40" i="21"/>
  <c r="AP114" i="21" l="1"/>
  <c r="O114" i="21"/>
  <c r="S114" i="21"/>
  <c r="W114" i="21"/>
  <c r="AA114" i="21"/>
  <c r="AE114" i="21"/>
  <c r="AI114" i="21"/>
  <c r="AM114" i="21"/>
  <c r="AQ114" i="21"/>
  <c r="K114" i="21"/>
  <c r="L114" i="21"/>
  <c r="P114" i="21"/>
  <c r="T114" i="21"/>
  <c r="X114" i="21"/>
  <c r="AB114" i="21"/>
  <c r="AF114" i="21"/>
  <c r="AJ114" i="21"/>
  <c r="AN114" i="21"/>
  <c r="M114" i="21"/>
  <c r="Q114" i="21"/>
  <c r="U114" i="21"/>
  <c r="Y114" i="21"/>
  <c r="AC114" i="21"/>
  <c r="AG114" i="21"/>
  <c r="AK114" i="21"/>
  <c r="AO114" i="21"/>
  <c r="J114" i="21"/>
  <c r="J118" i="21" s="1"/>
  <c r="N114" i="21"/>
  <c r="R114" i="21"/>
  <c r="V114" i="21"/>
  <c r="Z114" i="21"/>
  <c r="AD114" i="21"/>
  <c r="AH114" i="21"/>
  <c r="AL114" i="21"/>
  <c r="L53" i="20" l="1"/>
  <c r="M54" i="20"/>
  <c r="F21" i="24" l="1"/>
  <c r="F20" i="24"/>
  <c r="F19" i="24"/>
  <c r="F18" i="24"/>
  <c r="AQ40" i="39"/>
  <c r="AO40" i="39"/>
  <c r="AN40" i="39"/>
  <c r="AM40" i="39"/>
  <c r="AL40" i="39"/>
  <c r="AK40" i="39"/>
  <c r="AJ40" i="39"/>
  <c r="AI40" i="39"/>
  <c r="AH40" i="39"/>
  <c r="AG40" i="39"/>
  <c r="AF40" i="39"/>
  <c r="AE40" i="39"/>
  <c r="AD40" i="39"/>
  <c r="AC40" i="39"/>
  <c r="AB40" i="39"/>
  <c r="AA40" i="39"/>
  <c r="Z40" i="39"/>
  <c r="Y40" i="39"/>
  <c r="X40" i="39"/>
  <c r="W40" i="39"/>
  <c r="V40" i="39"/>
  <c r="U40" i="39"/>
  <c r="T40" i="39"/>
  <c r="S40" i="39"/>
  <c r="R40" i="39"/>
  <c r="Q40" i="39"/>
  <c r="P40" i="39"/>
  <c r="O40" i="39"/>
  <c r="N40" i="39"/>
  <c r="M40" i="39"/>
  <c r="L40" i="39"/>
  <c r="K40" i="39"/>
  <c r="J40" i="39"/>
  <c r="AQ36" i="38"/>
  <c r="AO36" i="38"/>
  <c r="AN36" i="38"/>
  <c r="AM36" i="38"/>
  <c r="AL36" i="38"/>
  <c r="AK36" i="38"/>
  <c r="AJ36" i="38"/>
  <c r="AI36" i="38"/>
  <c r="AH36" i="38"/>
  <c r="AG36" i="38"/>
  <c r="AF36" i="38"/>
  <c r="AE36" i="38"/>
  <c r="AD36" i="38"/>
  <c r="AC36" i="38"/>
  <c r="AB36" i="38"/>
  <c r="AA36" i="38"/>
  <c r="Z36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AQ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F22" i="21"/>
  <c r="F21" i="21"/>
  <c r="F20" i="21"/>
  <c r="F19" i="21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B14" i="30" l="1"/>
  <c r="H15" i="33"/>
  <c r="D14" i="30" s="1"/>
  <c r="G41" i="21" l="1"/>
  <c r="J44" i="36"/>
  <c r="J43" i="36"/>
  <c r="J42" i="36"/>
  <c r="J41" i="36"/>
  <c r="J40" i="36"/>
  <c r="J39" i="36"/>
  <c r="K43" i="36"/>
  <c r="K42" i="36"/>
  <c r="K41" i="36"/>
  <c r="K40" i="36"/>
  <c r="K39" i="36"/>
  <c r="K38" i="36"/>
  <c r="L42" i="36"/>
  <c r="L41" i="36"/>
  <c r="L40" i="36"/>
  <c r="L39" i="36"/>
  <c r="L38" i="36"/>
  <c r="M41" i="36"/>
  <c r="M40" i="36"/>
  <c r="M39" i="36"/>
  <c r="M38" i="36"/>
  <c r="G44" i="36"/>
  <c r="F44" i="36"/>
  <c r="G43" i="36"/>
  <c r="F43" i="36"/>
  <c r="G42" i="36"/>
  <c r="F42" i="36"/>
  <c r="G41" i="36"/>
  <c r="F41" i="36"/>
  <c r="G40" i="36"/>
  <c r="F40" i="36"/>
  <c r="G39" i="36"/>
  <c r="F39" i="36"/>
  <c r="G38" i="36"/>
  <c r="F38" i="36"/>
  <c r="E37" i="36"/>
  <c r="J38" i="36"/>
  <c r="G23" i="23" l="1"/>
  <c r="F23" i="23"/>
  <c r="G22" i="23"/>
  <c r="F22" i="23"/>
  <c r="G21" i="23"/>
  <c r="F21" i="23"/>
  <c r="G20" i="23"/>
  <c r="F20" i="23"/>
  <c r="E19" i="23"/>
  <c r="A2" i="23"/>
  <c r="A1" i="23"/>
  <c r="G31" i="24"/>
  <c r="E31" i="24"/>
  <c r="G30" i="24"/>
  <c r="E30" i="24"/>
  <c r="G28" i="24"/>
  <c r="E28" i="24"/>
  <c r="G27" i="24"/>
  <c r="E27" i="24"/>
  <c r="G18" i="24"/>
  <c r="A2" i="24"/>
  <c r="A1" i="24"/>
  <c r="H102" i="36"/>
  <c r="G102" i="36"/>
  <c r="E102" i="36"/>
  <c r="G83" i="36"/>
  <c r="G70" i="36"/>
  <c r="E70" i="36"/>
  <c r="H68" i="36"/>
  <c r="E68" i="36"/>
  <c r="H67" i="36"/>
  <c r="E67" i="36"/>
  <c r="G25" i="36"/>
  <c r="F25" i="36"/>
  <c r="G24" i="36"/>
  <c r="F24" i="36"/>
  <c r="G23" i="36"/>
  <c r="F23" i="36"/>
  <c r="G22" i="36"/>
  <c r="F22" i="36"/>
  <c r="G21" i="36"/>
  <c r="F21" i="36"/>
  <c r="G20" i="36"/>
  <c r="F20" i="36"/>
  <c r="G19" i="36"/>
  <c r="F19" i="36"/>
  <c r="E18" i="36"/>
  <c r="A2" i="36"/>
  <c r="A1" i="36"/>
  <c r="G40" i="39"/>
  <c r="E40" i="39"/>
  <c r="F24" i="39"/>
  <c r="F23" i="39"/>
  <c r="F22" i="39"/>
  <c r="F21" i="39"/>
  <c r="A2" i="39"/>
  <c r="A1" i="39"/>
  <c r="G166" i="22"/>
  <c r="F166" i="22"/>
  <c r="G165" i="22"/>
  <c r="F165" i="22"/>
  <c r="G164" i="22"/>
  <c r="F164" i="22"/>
  <c r="G163" i="22"/>
  <c r="F163" i="22"/>
  <c r="E162" i="22"/>
  <c r="G118" i="22"/>
  <c r="G111" i="22"/>
  <c r="F111" i="22"/>
  <c r="H110" i="22"/>
  <c r="G110" i="22"/>
  <c r="F110" i="22"/>
  <c r="H109" i="22"/>
  <c r="G109" i="22"/>
  <c r="F109" i="22"/>
  <c r="E108" i="22"/>
  <c r="G104" i="22"/>
  <c r="E104" i="22"/>
  <c r="H100" i="22"/>
  <c r="G100" i="22"/>
  <c r="F100" i="22"/>
  <c r="H99" i="22"/>
  <c r="G99" i="22"/>
  <c r="F99" i="22"/>
  <c r="H98" i="22"/>
  <c r="G98" i="22"/>
  <c r="F98" i="22"/>
  <c r="E97" i="22"/>
  <c r="G95" i="22"/>
  <c r="F95" i="22"/>
  <c r="G94" i="22"/>
  <c r="F94" i="22"/>
  <c r="G93" i="22"/>
  <c r="F93" i="22"/>
  <c r="E92" i="22"/>
  <c r="G74" i="22"/>
  <c r="E74" i="22"/>
  <c r="G60" i="22"/>
  <c r="E60" i="22"/>
  <c r="G58" i="22"/>
  <c r="E58" i="22"/>
  <c r="G45" i="22"/>
  <c r="E45" i="22"/>
  <c r="G43" i="22"/>
  <c r="E43" i="22"/>
  <c r="G35" i="22"/>
  <c r="E35" i="22"/>
  <c r="G33" i="22"/>
  <c r="E33" i="22"/>
  <c r="G21" i="22"/>
  <c r="F21" i="22"/>
  <c r="G20" i="22"/>
  <c r="F20" i="22"/>
  <c r="G19" i="22"/>
  <c r="G23" i="22" s="1"/>
  <c r="F19" i="22"/>
  <c r="E18" i="22"/>
  <c r="A2" i="22"/>
  <c r="A1" i="22"/>
  <c r="G49" i="20"/>
  <c r="E49" i="20"/>
  <c r="G29" i="20"/>
  <c r="E29" i="20"/>
  <c r="G25" i="20"/>
  <c r="F25" i="20"/>
  <c r="G24" i="20"/>
  <c r="F24" i="20"/>
  <c r="G23" i="20"/>
  <c r="F23" i="20"/>
  <c r="G22" i="20"/>
  <c r="F22" i="20"/>
  <c r="G21" i="20"/>
  <c r="G58" i="20" s="1"/>
  <c r="F21" i="20"/>
  <c r="E20" i="20"/>
  <c r="A2" i="20"/>
  <c r="A1" i="20"/>
  <c r="AK38" i="38"/>
  <c r="F32" i="38"/>
  <c r="F31" i="38"/>
  <c r="F30" i="38"/>
  <c r="F29" i="38"/>
  <c r="F28" i="38"/>
  <c r="E27" i="38"/>
  <c r="F25" i="38"/>
  <c r="F24" i="38"/>
  <c r="F23" i="38"/>
  <c r="F22" i="38"/>
  <c r="F21" i="38"/>
  <c r="E20" i="38"/>
  <c r="A2" i="38"/>
  <c r="A1" i="38"/>
  <c r="G85" i="21"/>
  <c r="F85" i="21"/>
  <c r="G84" i="21"/>
  <c r="F84" i="21"/>
  <c r="G83" i="21"/>
  <c r="F83" i="21"/>
  <c r="G82" i="21"/>
  <c r="F82" i="21"/>
  <c r="G81" i="21"/>
  <c r="F81" i="21"/>
  <c r="E80" i="21"/>
  <c r="G78" i="21"/>
  <c r="F78" i="21"/>
  <c r="G77" i="21"/>
  <c r="F77" i="21"/>
  <c r="G76" i="21"/>
  <c r="F76" i="21"/>
  <c r="G75" i="21"/>
  <c r="F75" i="21"/>
  <c r="G74" i="21"/>
  <c r="F74" i="21"/>
  <c r="E73" i="21"/>
  <c r="G64" i="21"/>
  <c r="G60" i="21"/>
  <c r="E60" i="21"/>
  <c r="H41" i="21"/>
  <c r="AP42" i="21" s="1"/>
  <c r="E41" i="21"/>
  <c r="G40" i="21"/>
  <c r="G38" i="21"/>
  <c r="E38" i="21"/>
  <c r="G28" i="21"/>
  <c r="F28" i="21"/>
  <c r="G27" i="21"/>
  <c r="F27" i="21"/>
  <c r="G26" i="21"/>
  <c r="F26" i="21"/>
  <c r="G25" i="21"/>
  <c r="F25" i="21"/>
  <c r="G19" i="21"/>
  <c r="G116" i="21" s="1"/>
  <c r="A2" i="21"/>
  <c r="A1" i="21"/>
  <c r="G133" i="15"/>
  <c r="G131" i="15"/>
  <c r="G130" i="15"/>
  <c r="G129" i="15"/>
  <c r="G128" i="15"/>
  <c r="G127" i="15"/>
  <c r="G124" i="15"/>
  <c r="G116" i="15"/>
  <c r="E116" i="15"/>
  <c r="G112" i="15"/>
  <c r="F112" i="15"/>
  <c r="G111" i="15"/>
  <c r="F111" i="15"/>
  <c r="G110" i="15"/>
  <c r="F110" i="15"/>
  <c r="G109" i="15"/>
  <c r="F109" i="15"/>
  <c r="G108" i="15"/>
  <c r="F108" i="15"/>
  <c r="E107" i="15"/>
  <c r="G88" i="15"/>
  <c r="G86" i="15"/>
  <c r="G85" i="15"/>
  <c r="G84" i="15"/>
  <c r="G83" i="15"/>
  <c r="G58" i="15"/>
  <c r="G56" i="15"/>
  <c r="G105" i="15" s="1"/>
  <c r="G55" i="15"/>
  <c r="G54" i="15"/>
  <c r="G53" i="15"/>
  <c r="G52" i="15"/>
  <c r="G41" i="15"/>
  <c r="E41" i="15"/>
  <c r="G29" i="15"/>
  <c r="E29" i="15"/>
  <c r="G22" i="15"/>
  <c r="E22" i="15"/>
  <c r="G21" i="15"/>
  <c r="E21" i="15"/>
  <c r="G20" i="15"/>
  <c r="E20" i="15"/>
  <c r="A2" i="15"/>
  <c r="A1" i="15"/>
  <c r="A2" i="2"/>
  <c r="A1" i="2"/>
  <c r="G35" i="8"/>
  <c r="G68" i="36" s="1"/>
  <c r="G34" i="8"/>
  <c r="G67" i="36" s="1"/>
  <c r="H22" i="15"/>
  <c r="A2" i="8"/>
  <c r="A1" i="8"/>
  <c r="A2" i="41"/>
  <c r="A1" i="41"/>
  <c r="A2" i="34"/>
  <c r="A1" i="34"/>
  <c r="D12" i="30"/>
  <c r="H11" i="33"/>
  <c r="D10" i="30" s="1"/>
  <c r="H9" i="33"/>
  <c r="D8" i="30" s="1"/>
  <c r="H7" i="33"/>
  <c r="D6" i="30" s="1"/>
  <c r="A2" i="33"/>
  <c r="A1" i="33"/>
  <c r="B12" i="30"/>
  <c r="B10" i="30"/>
  <c r="B8" i="30"/>
  <c r="B6" i="30"/>
  <c r="G55" i="38" l="1"/>
  <c r="J67" i="21"/>
  <c r="AP67" i="21"/>
  <c r="A3" i="23"/>
  <c r="A3" i="15"/>
  <c r="A3" i="2"/>
  <c r="A3" i="39"/>
  <c r="A3" i="38"/>
  <c r="A3" i="22"/>
  <c r="A3" i="41"/>
  <c r="A3" i="8"/>
  <c r="A3" i="20"/>
  <c r="A3" i="34"/>
  <c r="A3" i="33"/>
  <c r="A3" i="21"/>
  <c r="A3" i="24"/>
  <c r="A3" i="36"/>
  <c r="G33" i="21"/>
  <c r="G49" i="21"/>
  <c r="G136" i="21"/>
  <c r="G28" i="38" s="1"/>
  <c r="G47" i="38"/>
  <c r="G32" i="21"/>
  <c r="G129" i="21"/>
  <c r="G21" i="38" s="1"/>
  <c r="G46" i="38"/>
  <c r="G90" i="21"/>
  <c r="G137" i="21"/>
  <c r="G29" i="38" s="1"/>
  <c r="G56" i="38"/>
  <c r="G69" i="21"/>
  <c r="G91" i="21"/>
  <c r="G138" i="21"/>
  <c r="G30" i="38" s="1"/>
  <c r="G57" i="38"/>
  <c r="G62" i="21"/>
  <c r="G92" i="21"/>
  <c r="G139" i="21"/>
  <c r="G31" i="38" s="1"/>
  <c r="G59" i="38"/>
  <c r="G99" i="21"/>
  <c r="G22" i="21"/>
  <c r="G100" i="21"/>
  <c r="G44" i="38"/>
  <c r="G31" i="21"/>
  <c r="G101" i="21"/>
  <c r="G45" i="38"/>
  <c r="G59" i="20"/>
  <c r="G40" i="20"/>
  <c r="G34" i="21"/>
  <c r="G45" i="21"/>
  <c r="G93" i="21"/>
  <c r="G130" i="21"/>
  <c r="G22" i="38" s="1"/>
  <c r="G140" i="21"/>
  <c r="G32" i="38" s="1"/>
  <c r="G49" i="38"/>
  <c r="G41" i="20"/>
  <c r="G46" i="21"/>
  <c r="G94" i="21"/>
  <c r="G131" i="21"/>
  <c r="G23" i="38" s="1"/>
  <c r="G53" i="38"/>
  <c r="G20" i="21"/>
  <c r="G47" i="21"/>
  <c r="G97" i="21"/>
  <c r="G132" i="21"/>
  <c r="G24" i="38" s="1"/>
  <c r="G54" i="38"/>
  <c r="G21" i="21"/>
  <c r="G48" i="21"/>
  <c r="G98" i="21"/>
  <c r="G133" i="21"/>
  <c r="G43" i="38"/>
  <c r="AQ67" i="21"/>
  <c r="AG32" i="15"/>
  <c r="L42" i="21"/>
  <c r="AF42" i="21"/>
  <c r="X33" i="15"/>
  <c r="V44" i="15"/>
  <c r="AI45" i="15"/>
  <c r="AY46" i="15"/>
  <c r="BO45" i="15"/>
  <c r="CA45" i="15"/>
  <c r="AD42" i="21"/>
  <c r="O38" i="38"/>
  <c r="AB38" i="38"/>
  <c r="AN38" i="38"/>
  <c r="W45" i="15"/>
  <c r="AM46" i="15"/>
  <c r="AZ47" i="15"/>
  <c r="BP45" i="15"/>
  <c r="CB45" i="15"/>
  <c r="P38" i="38"/>
  <c r="AD38" i="38"/>
  <c r="AR35" i="15"/>
  <c r="L46" i="15"/>
  <c r="X47" i="15"/>
  <c r="AN47" i="15"/>
  <c r="BA45" i="15"/>
  <c r="BQ45" i="15"/>
  <c r="CG45" i="15"/>
  <c r="N42" i="21"/>
  <c r="AJ42" i="21"/>
  <c r="V67" i="21"/>
  <c r="S38" i="38"/>
  <c r="AE38" i="38"/>
  <c r="BB36" i="15"/>
  <c r="M45" i="15"/>
  <c r="Y45" i="15"/>
  <c r="AO46" i="15"/>
  <c r="BE47" i="15"/>
  <c r="BR45" i="15"/>
  <c r="CH47" i="15"/>
  <c r="AL42" i="21"/>
  <c r="Z67" i="21"/>
  <c r="T38" i="38"/>
  <c r="AF38" i="38"/>
  <c r="BL35" i="15"/>
  <c r="N46" i="15"/>
  <c r="AD46" i="15"/>
  <c r="BG47" i="15"/>
  <c r="BS46" i="15"/>
  <c r="CI45" i="15"/>
  <c r="T42" i="21"/>
  <c r="AN42" i="21"/>
  <c r="V38" i="38"/>
  <c r="AI38" i="38"/>
  <c r="BX32" i="15"/>
  <c r="O47" i="15"/>
  <c r="AR44" i="15"/>
  <c r="BH47" i="15"/>
  <c r="BX44" i="15"/>
  <c r="CJ45" i="15"/>
  <c r="V42" i="21"/>
  <c r="K38" i="38"/>
  <c r="W38" i="38"/>
  <c r="AJ38" i="38"/>
  <c r="CH35" i="15"/>
  <c r="P47" i="15"/>
  <c r="AF44" i="15"/>
  <c r="AV46" i="15"/>
  <c r="BI47" i="15"/>
  <c r="BY47" i="15"/>
  <c r="CK47" i="15"/>
  <c r="X42" i="21"/>
  <c r="L38" i="38"/>
  <c r="X38" i="38"/>
  <c r="AL38" i="38"/>
  <c r="O36" i="15"/>
  <c r="U46" i="15"/>
  <c r="AG45" i="15"/>
  <c r="AW47" i="15"/>
  <c r="BJ44" i="15"/>
  <c r="BZ46" i="15"/>
  <c r="CP46" i="15"/>
  <c r="AB42" i="21"/>
  <c r="N38" i="38"/>
  <c r="AA38" i="38"/>
  <c r="AM38" i="38"/>
  <c r="CJ33" i="15"/>
  <c r="CJ36" i="15"/>
  <c r="CJ35" i="15"/>
  <c r="CJ34" i="15"/>
  <c r="CJ32" i="15"/>
  <c r="CM46" i="15"/>
  <c r="CM45" i="15"/>
  <c r="CM44" i="15"/>
  <c r="CM47" i="15"/>
  <c r="BJ45" i="15"/>
  <c r="AD67" i="21"/>
  <c r="AF67" i="21"/>
  <c r="AO67" i="21"/>
  <c r="AG67" i="21"/>
  <c r="Y67" i="21"/>
  <c r="Q67" i="21"/>
  <c r="AM67" i="21"/>
  <c r="AE67" i="21"/>
  <c r="W67" i="21"/>
  <c r="O67" i="21"/>
  <c r="AK67" i="21"/>
  <c r="AC67" i="21"/>
  <c r="U67" i="21"/>
  <c r="M67" i="21"/>
  <c r="AJ67" i="21"/>
  <c r="AB67" i="21"/>
  <c r="T67" i="21"/>
  <c r="L67" i="21"/>
  <c r="AI67" i="21"/>
  <c r="AA67" i="21"/>
  <c r="S67" i="21"/>
  <c r="K67" i="21"/>
  <c r="AN67" i="21"/>
  <c r="R67" i="21"/>
  <c r="AL67" i="21"/>
  <c r="P67" i="21"/>
  <c r="AH67" i="21"/>
  <c r="N67" i="21"/>
  <c r="X67" i="21"/>
  <c r="J42" i="21"/>
  <c r="P42" i="21"/>
  <c r="AM42" i="21"/>
  <c r="Q42" i="21"/>
  <c r="Y42" i="21"/>
  <c r="AG42" i="21"/>
  <c r="AO42" i="21"/>
  <c r="Q38" i="38"/>
  <c r="Y38" i="38"/>
  <c r="AG38" i="38"/>
  <c r="AO38" i="38"/>
  <c r="R42" i="21"/>
  <c r="Z42" i="21"/>
  <c r="AH42" i="21"/>
  <c r="AQ42" i="21"/>
  <c r="J38" i="38"/>
  <c r="R38" i="38"/>
  <c r="Z38" i="38"/>
  <c r="AH38" i="38"/>
  <c r="AQ38" i="38"/>
  <c r="K42" i="21"/>
  <c r="S42" i="21"/>
  <c r="AA42" i="21"/>
  <c r="AI42" i="21"/>
  <c r="M42" i="21"/>
  <c r="U42" i="21"/>
  <c r="AC42" i="21"/>
  <c r="AK42" i="21"/>
  <c r="M38" i="38"/>
  <c r="U38" i="38"/>
  <c r="AC38" i="38"/>
  <c r="O42" i="21"/>
  <c r="W42" i="21"/>
  <c r="AE42" i="21"/>
  <c r="CG44" i="15" l="1"/>
  <c r="CH44" i="15"/>
  <c r="Y44" i="15"/>
  <c r="CJ47" i="15"/>
  <c r="BP44" i="15"/>
  <c r="BL34" i="15"/>
  <c r="V47" i="15"/>
  <c r="AG36" i="15"/>
  <c r="AN45" i="15"/>
  <c r="CP47" i="15"/>
  <c r="V46" i="15"/>
  <c r="BO47" i="15"/>
  <c r="CG46" i="15"/>
  <c r="BG44" i="15"/>
  <c r="BO46" i="15"/>
  <c r="W46" i="15"/>
  <c r="Y46" i="15"/>
  <c r="X32" i="15"/>
  <c r="CH36" i="15"/>
  <c r="L47" i="15"/>
  <c r="CJ46" i="15"/>
  <c r="AG35" i="15"/>
  <c r="AR46" i="15"/>
  <c r="AG33" i="15"/>
  <c r="BY45" i="15"/>
  <c r="AR47" i="15"/>
  <c r="AG47" i="15"/>
  <c r="CB46" i="15"/>
  <c r="BY44" i="15"/>
  <c r="O44" i="15"/>
  <c r="CB47" i="15"/>
  <c r="AV44" i="15"/>
  <c r="CH32" i="15"/>
  <c r="BR44" i="15"/>
  <c r="AZ46" i="15"/>
  <c r="V45" i="15"/>
  <c r="AG46" i="15"/>
  <c r="O46" i="15"/>
  <c r="AG44" i="15"/>
  <c r="BR47" i="15"/>
  <c r="AW45" i="15"/>
  <c r="BG45" i="15"/>
  <c r="Y47" i="15"/>
  <c r="AZ44" i="15"/>
  <c r="BO44" i="15"/>
  <c r="CJ44" i="15"/>
  <c r="CG47" i="15"/>
  <c r="BG46" i="15"/>
  <c r="W47" i="15"/>
  <c r="CH33" i="15"/>
  <c r="AV45" i="15"/>
  <c r="AW46" i="15"/>
  <c r="CH34" i="15"/>
  <c r="BY46" i="15"/>
  <c r="CB44" i="15"/>
  <c r="AG34" i="15"/>
  <c r="AO45" i="15"/>
  <c r="AF47" i="15"/>
  <c r="P44" i="15"/>
  <c r="AR45" i="15"/>
  <c r="BZ45" i="15"/>
  <c r="CA46" i="15"/>
  <c r="BI44" i="15"/>
  <c r="BQ47" i="15"/>
  <c r="BI46" i="15"/>
  <c r="O45" i="15"/>
  <c r="BZ47" i="15"/>
  <c r="CP44" i="15"/>
  <c r="BR46" i="15"/>
  <c r="BZ44" i="15"/>
  <c r="BP47" i="15"/>
  <c r="AY45" i="15"/>
  <c r="BL36" i="15"/>
  <c r="BI45" i="15"/>
  <c r="X34" i="15"/>
  <c r="BL32" i="15"/>
  <c r="X45" i="15"/>
  <c r="AV47" i="15"/>
  <c r="BP46" i="15"/>
  <c r="AZ45" i="15"/>
  <c r="X35" i="15"/>
  <c r="BL33" i="15"/>
  <c r="L44" i="15"/>
  <c r="X36" i="15"/>
  <c r="L45" i="15"/>
  <c r="CP45" i="15"/>
  <c r="U47" i="15"/>
  <c r="G23" i="39"/>
  <c r="G24" i="39"/>
  <c r="G22" i="39"/>
  <c r="G21" i="39"/>
  <c r="G25" i="38"/>
  <c r="P45" i="15"/>
  <c r="CI47" i="15"/>
  <c r="AW44" i="15"/>
  <c r="AR32" i="15"/>
  <c r="BX33" i="15"/>
  <c r="AO44" i="15"/>
  <c r="AR33" i="15"/>
  <c r="P46" i="15"/>
  <c r="CI46" i="15"/>
  <c r="AR34" i="15"/>
  <c r="BX34" i="15"/>
  <c r="BS45" i="15"/>
  <c r="BS44" i="15"/>
  <c r="BE45" i="15"/>
  <c r="AM45" i="15"/>
  <c r="AR36" i="15"/>
  <c r="BX35" i="15"/>
  <c r="BS47" i="15"/>
  <c r="BJ46" i="15"/>
  <c r="BE44" i="15"/>
  <c r="AM44" i="15"/>
  <c r="AF46" i="15"/>
  <c r="BJ47" i="15"/>
  <c r="W44" i="15"/>
  <c r="BE46" i="15"/>
  <c r="CA47" i="15"/>
  <c r="AM47" i="15"/>
  <c r="CA44" i="15"/>
  <c r="AF45" i="15"/>
  <c r="CI44" i="15"/>
  <c r="AO47" i="15"/>
  <c r="BH45" i="15"/>
  <c r="O33" i="15"/>
  <c r="BH46" i="15"/>
  <c r="O32" i="15"/>
  <c r="U44" i="15"/>
  <c r="BA47" i="15"/>
  <c r="CK45" i="15"/>
  <c r="BX46" i="15"/>
  <c r="AY44" i="15"/>
  <c r="M47" i="15"/>
  <c r="AI44" i="15"/>
  <c r="BB34" i="15"/>
  <c r="AD45" i="15"/>
  <c r="AD44" i="15"/>
  <c r="BA44" i="15"/>
  <c r="CK44" i="15"/>
  <c r="BX45" i="15"/>
  <c r="M44" i="15"/>
  <c r="AI47" i="15"/>
  <c r="BB35" i="15"/>
  <c r="BA46" i="15"/>
  <c r="CK46" i="15"/>
  <c r="BX47" i="15"/>
  <c r="M46" i="15"/>
  <c r="AI46" i="15"/>
  <c r="BB32" i="15"/>
  <c r="O34" i="15"/>
  <c r="BX36" i="15"/>
  <c r="AQ46" i="15"/>
  <c r="AQ47" i="15"/>
  <c r="AQ44" i="15"/>
  <c r="BQ44" i="15"/>
  <c r="AY47" i="15"/>
  <c r="BH44" i="15"/>
  <c r="U45" i="15"/>
  <c r="O35" i="15"/>
  <c r="BQ46" i="15"/>
  <c r="AQ45" i="15"/>
  <c r="AD47" i="15"/>
  <c r="BB33" i="15"/>
  <c r="N47" i="15"/>
  <c r="N45" i="15"/>
  <c r="N44" i="15"/>
  <c r="AN44" i="15"/>
  <c r="AN46" i="15"/>
  <c r="AE46" i="15"/>
  <c r="AE47" i="15"/>
  <c r="AE45" i="15"/>
  <c r="AE44" i="15"/>
  <c r="CH45" i="15"/>
  <c r="CH46" i="15"/>
  <c r="X44" i="15"/>
  <c r="X46" i="15"/>
  <c r="AB47" i="15"/>
  <c r="AB45" i="15"/>
  <c r="AB44" i="15"/>
  <c r="AB46" i="15"/>
  <c r="BW46" i="15"/>
  <c r="BW47" i="15"/>
  <c r="BW45" i="15"/>
  <c r="BW44" i="15"/>
  <c r="CN47" i="15"/>
  <c r="CN45" i="15"/>
  <c r="CN46" i="15"/>
  <c r="CN44" i="15"/>
  <c r="S46" i="15"/>
  <c r="S47" i="15"/>
  <c r="S45" i="15"/>
  <c r="S44" i="15"/>
  <c r="BN45" i="15"/>
  <c r="BN47" i="15"/>
  <c r="BN44" i="15"/>
  <c r="BN46" i="15"/>
  <c r="AA46" i="15"/>
  <c r="AA45" i="15"/>
  <c r="AA44" i="15"/>
  <c r="AA47" i="15"/>
  <c r="AF33" i="15"/>
  <c r="AF32" i="15"/>
  <c r="AF36" i="15"/>
  <c r="AF35" i="15"/>
  <c r="AF34" i="15"/>
  <c r="AN34" i="15"/>
  <c r="AN33" i="15"/>
  <c r="AN32" i="15"/>
  <c r="AN36" i="15"/>
  <c r="AN35" i="15"/>
  <c r="AW34" i="15"/>
  <c r="AW33" i="15"/>
  <c r="AW36" i="15"/>
  <c r="AW35" i="15"/>
  <c r="AW32" i="15"/>
  <c r="BR32" i="15"/>
  <c r="BR36" i="15"/>
  <c r="BR35" i="15"/>
  <c r="BR34" i="15"/>
  <c r="BR33" i="15"/>
  <c r="CA36" i="15"/>
  <c r="CA35" i="15"/>
  <c r="CA34" i="15"/>
  <c r="CA33" i="15"/>
  <c r="CA32" i="15"/>
  <c r="AX34" i="15"/>
  <c r="AX32" i="15"/>
  <c r="AX33" i="15"/>
  <c r="AX36" i="15"/>
  <c r="AX35" i="15"/>
  <c r="AA35" i="15"/>
  <c r="AA32" i="15"/>
  <c r="AA33" i="15"/>
  <c r="AA34" i="15"/>
  <c r="AA36" i="15"/>
  <c r="CM35" i="15"/>
  <c r="CM32" i="15"/>
  <c r="CM34" i="15"/>
  <c r="CM33" i="15"/>
  <c r="CM36" i="15"/>
  <c r="Q34" i="15"/>
  <c r="Q36" i="15"/>
  <c r="Q33" i="15"/>
  <c r="Q32" i="15"/>
  <c r="Q35" i="15"/>
  <c r="P36" i="15"/>
  <c r="P33" i="15"/>
  <c r="P32" i="15"/>
  <c r="P35" i="15"/>
  <c r="P34" i="15"/>
  <c r="CJ38" i="15"/>
  <c r="BF45" i="15"/>
  <c r="BF47" i="15"/>
  <c r="BF46" i="15"/>
  <c r="BF44" i="15"/>
  <c r="AO34" i="15"/>
  <c r="AO33" i="15"/>
  <c r="AO32" i="15"/>
  <c r="AO36" i="15"/>
  <c r="AO35" i="15"/>
  <c r="CK34" i="15"/>
  <c r="CK33" i="15"/>
  <c r="CK36" i="15"/>
  <c r="CK35" i="15"/>
  <c r="CK32" i="15"/>
  <c r="S35" i="15"/>
  <c r="S32" i="15"/>
  <c r="S33" i="15"/>
  <c r="S34" i="15"/>
  <c r="S36" i="15"/>
  <c r="CE36" i="15"/>
  <c r="CE35" i="15"/>
  <c r="CE34" i="15"/>
  <c r="CE32" i="15"/>
  <c r="CE33" i="15"/>
  <c r="Y34" i="15"/>
  <c r="Y33" i="15"/>
  <c r="Y36" i="15"/>
  <c r="Y32" i="15"/>
  <c r="Y35" i="15"/>
  <c r="W36" i="15"/>
  <c r="W35" i="15"/>
  <c r="W34" i="15"/>
  <c r="W33" i="15"/>
  <c r="W32" i="15"/>
  <c r="AE36" i="15"/>
  <c r="AE34" i="15"/>
  <c r="AE33" i="15"/>
  <c r="AE32" i="15"/>
  <c r="AE35" i="15"/>
  <c r="AM36" i="15"/>
  <c r="AM34" i="15"/>
  <c r="AM33" i="15"/>
  <c r="AM32" i="15"/>
  <c r="AM35" i="15"/>
  <c r="BH35" i="15"/>
  <c r="BH36" i="15"/>
  <c r="BH34" i="15"/>
  <c r="BH32" i="15"/>
  <c r="BH33" i="15"/>
  <c r="BQ36" i="15"/>
  <c r="BQ32" i="15"/>
  <c r="BQ35" i="15"/>
  <c r="BQ34" i="15"/>
  <c r="BQ33" i="15"/>
  <c r="BF34" i="15"/>
  <c r="BF36" i="15"/>
  <c r="BF35" i="15"/>
  <c r="BF32" i="15"/>
  <c r="BF33" i="15"/>
  <c r="AI36" i="15"/>
  <c r="AI35" i="15"/>
  <c r="AI34" i="15"/>
  <c r="AI32" i="15"/>
  <c r="AI33" i="15"/>
  <c r="CI36" i="15"/>
  <c r="CI33" i="15"/>
  <c r="CI35" i="15"/>
  <c r="CI32" i="15"/>
  <c r="CI34" i="15"/>
  <c r="CB33" i="15"/>
  <c r="CB35" i="15"/>
  <c r="CB34" i="15"/>
  <c r="CB32" i="15"/>
  <c r="CB36" i="15"/>
  <c r="BM46" i="15"/>
  <c r="BM44" i="15"/>
  <c r="BM45" i="15"/>
  <c r="BM47" i="15"/>
  <c r="CE46" i="15"/>
  <c r="CE47" i="15"/>
  <c r="CE44" i="15"/>
  <c r="CE45" i="15"/>
  <c r="J47" i="15"/>
  <c r="J45" i="15"/>
  <c r="J46" i="15"/>
  <c r="J44" i="15"/>
  <c r="BV45" i="15"/>
  <c r="BV47" i="15"/>
  <c r="BV46" i="15"/>
  <c r="BV44" i="15"/>
  <c r="Q44" i="15"/>
  <c r="Q45" i="15"/>
  <c r="Q46" i="15"/>
  <c r="Q47" i="15"/>
  <c r="BD47" i="15"/>
  <c r="BD45" i="15"/>
  <c r="BD46" i="15"/>
  <c r="BD44" i="15"/>
  <c r="BU46" i="15"/>
  <c r="BU44" i="15"/>
  <c r="BU47" i="15"/>
  <c r="BU45" i="15"/>
  <c r="R47" i="15"/>
  <c r="R45" i="15"/>
  <c r="R44" i="15"/>
  <c r="R46" i="15"/>
  <c r="CD45" i="15"/>
  <c r="CD47" i="15"/>
  <c r="CD44" i="15"/>
  <c r="CD46" i="15"/>
  <c r="CC46" i="15"/>
  <c r="CC44" i="15"/>
  <c r="CC45" i="15"/>
  <c r="CC47" i="15"/>
  <c r="N32" i="15"/>
  <c r="N33" i="15"/>
  <c r="N36" i="15"/>
  <c r="N34" i="15"/>
  <c r="N35" i="15"/>
  <c r="V34" i="15"/>
  <c r="V32" i="15"/>
  <c r="V36" i="15"/>
  <c r="V35" i="15"/>
  <c r="V33" i="15"/>
  <c r="AD32" i="15"/>
  <c r="AD34" i="15"/>
  <c r="AD33" i="15"/>
  <c r="AD36" i="15"/>
  <c r="AD35" i="15"/>
  <c r="AV34" i="15"/>
  <c r="AV33" i="15"/>
  <c r="AV36" i="15"/>
  <c r="AV35" i="15"/>
  <c r="AV32" i="15"/>
  <c r="BE34" i="15"/>
  <c r="BE33" i="15"/>
  <c r="BE36" i="15"/>
  <c r="BE35" i="15"/>
  <c r="BE32" i="15"/>
  <c r="BN34" i="15"/>
  <c r="BN36" i="15"/>
  <c r="BN35" i="15"/>
  <c r="BN32" i="15"/>
  <c r="BN33" i="15"/>
  <c r="AQ36" i="15"/>
  <c r="AQ33" i="15"/>
  <c r="AQ35" i="15"/>
  <c r="AQ34" i="15"/>
  <c r="AQ32" i="15"/>
  <c r="BZ32" i="15"/>
  <c r="BZ35" i="15"/>
  <c r="BZ34" i="15"/>
  <c r="BZ33" i="15"/>
  <c r="BZ36" i="15"/>
  <c r="BY36" i="15"/>
  <c r="BY34" i="15"/>
  <c r="BY32" i="15"/>
  <c r="BY35" i="15"/>
  <c r="BY33" i="15"/>
  <c r="AP32" i="15"/>
  <c r="AP33" i="15"/>
  <c r="AP36" i="15"/>
  <c r="AP35" i="15"/>
  <c r="AP34" i="15"/>
  <c r="Z36" i="15"/>
  <c r="Z32" i="15"/>
  <c r="Z33" i="15"/>
  <c r="Z35" i="15"/>
  <c r="Z34" i="15"/>
  <c r="AU46" i="15"/>
  <c r="AU44" i="15"/>
  <c r="AU47" i="15"/>
  <c r="AU45" i="15"/>
  <c r="BL47" i="15"/>
  <c r="BL45" i="15"/>
  <c r="BL44" i="15"/>
  <c r="BL46" i="15"/>
  <c r="Z47" i="15"/>
  <c r="Z45" i="15"/>
  <c r="Z44" i="15"/>
  <c r="Z46" i="15"/>
  <c r="BT47" i="15"/>
  <c r="BT45" i="15"/>
  <c r="BT46" i="15"/>
  <c r="BT44" i="15"/>
  <c r="CG36" i="15"/>
  <c r="CG34" i="15"/>
  <c r="CG32" i="15"/>
  <c r="CG33" i="15"/>
  <c r="CG35" i="15"/>
  <c r="CP33" i="15"/>
  <c r="CP36" i="15"/>
  <c r="CP32" i="15"/>
  <c r="CP34" i="15"/>
  <c r="CP35" i="15"/>
  <c r="M34" i="15"/>
  <c r="M32" i="15"/>
  <c r="M35" i="15"/>
  <c r="M33" i="15"/>
  <c r="M36" i="15"/>
  <c r="U34" i="15"/>
  <c r="U32" i="15"/>
  <c r="U33" i="15"/>
  <c r="U36" i="15"/>
  <c r="U35" i="15"/>
  <c r="AL35" i="15"/>
  <c r="AL32" i="15"/>
  <c r="AL33" i="15"/>
  <c r="AL34" i="15"/>
  <c r="AL36" i="15"/>
  <c r="AU36" i="15"/>
  <c r="AU35" i="15"/>
  <c r="AU34" i="15"/>
  <c r="AU33" i="15"/>
  <c r="AU32" i="15"/>
  <c r="BV35" i="15"/>
  <c r="BV32" i="15"/>
  <c r="BV36" i="15"/>
  <c r="BV33" i="15"/>
  <c r="BV34" i="15"/>
  <c r="AY32" i="15"/>
  <c r="AY33" i="15"/>
  <c r="AY36" i="15"/>
  <c r="AY35" i="15"/>
  <c r="AY34" i="15"/>
  <c r="BP35" i="15"/>
  <c r="BP34" i="15"/>
  <c r="BP36" i="15"/>
  <c r="BP32" i="15"/>
  <c r="BP33" i="15"/>
  <c r="BM34" i="15"/>
  <c r="BM35" i="15"/>
  <c r="BM33" i="15"/>
  <c r="BM36" i="15"/>
  <c r="BM32" i="15"/>
  <c r="AJ47" i="15"/>
  <c r="AJ45" i="15"/>
  <c r="AJ44" i="15"/>
  <c r="AJ46" i="15"/>
  <c r="AZ35" i="15"/>
  <c r="AZ36" i="15"/>
  <c r="AZ32" i="15"/>
  <c r="AZ33" i="15"/>
  <c r="AZ34" i="15"/>
  <c r="CL45" i="15"/>
  <c r="CL47" i="15"/>
  <c r="CL46" i="15"/>
  <c r="CL44" i="15"/>
  <c r="AL47" i="15"/>
  <c r="AL44" i="15"/>
  <c r="AL45" i="15"/>
  <c r="AL46" i="15"/>
  <c r="BC46" i="15"/>
  <c r="BC47" i="15"/>
  <c r="BC44" i="15"/>
  <c r="BC45" i="15"/>
  <c r="AH45" i="15"/>
  <c r="AH47" i="15"/>
  <c r="AH46" i="15"/>
  <c r="AH44" i="15"/>
  <c r="BK46" i="15"/>
  <c r="BK45" i="15"/>
  <c r="BK47" i="15"/>
  <c r="BK44" i="15"/>
  <c r="BU34" i="15"/>
  <c r="BU36" i="15"/>
  <c r="BU33" i="15"/>
  <c r="BU35" i="15"/>
  <c r="BU32" i="15"/>
  <c r="CF35" i="15"/>
  <c r="CF34" i="15"/>
  <c r="CF32" i="15"/>
  <c r="CF33" i="15"/>
  <c r="CF36" i="15"/>
  <c r="CO36" i="15"/>
  <c r="CO35" i="15"/>
  <c r="CO32" i="15"/>
  <c r="CO34" i="15"/>
  <c r="CO33" i="15"/>
  <c r="L35" i="15"/>
  <c r="L34" i="15"/>
  <c r="L36" i="15"/>
  <c r="L32" i="15"/>
  <c r="L33" i="15"/>
  <c r="AC35" i="15"/>
  <c r="AC32" i="15"/>
  <c r="AC33" i="15"/>
  <c r="AC34" i="15"/>
  <c r="AC36" i="15"/>
  <c r="AK35" i="15"/>
  <c r="AK32" i="15"/>
  <c r="AK36" i="15"/>
  <c r="AK33" i="15"/>
  <c r="AK34" i="15"/>
  <c r="CD36" i="15"/>
  <c r="CD35" i="15"/>
  <c r="CD34" i="15"/>
  <c r="CD32" i="15"/>
  <c r="CD33" i="15"/>
  <c r="BG34" i="15"/>
  <c r="BG36" i="15"/>
  <c r="BG35" i="15"/>
  <c r="BG32" i="15"/>
  <c r="BG33" i="15"/>
  <c r="BD35" i="15"/>
  <c r="BD33" i="15"/>
  <c r="BD34" i="15"/>
  <c r="BD36" i="15"/>
  <c r="BD32" i="15"/>
  <c r="BC36" i="15"/>
  <c r="BC35" i="15"/>
  <c r="BC34" i="15"/>
  <c r="BC33" i="15"/>
  <c r="BC32" i="15"/>
  <c r="CF47" i="15"/>
  <c r="CF45" i="15"/>
  <c r="CF46" i="15"/>
  <c r="CF44" i="15"/>
  <c r="AT47" i="15"/>
  <c r="AT46" i="15"/>
  <c r="AT44" i="15"/>
  <c r="AT45" i="15"/>
  <c r="BB47" i="15"/>
  <c r="BB45" i="15"/>
  <c r="BB46" i="15"/>
  <c r="BB44" i="15"/>
  <c r="BK36" i="15"/>
  <c r="BK33" i="15"/>
  <c r="BK32" i="15"/>
  <c r="BK35" i="15"/>
  <c r="BK34" i="15"/>
  <c r="BT36" i="15"/>
  <c r="BT33" i="15"/>
  <c r="BT35" i="15"/>
  <c r="BT34" i="15"/>
  <c r="BT32" i="15"/>
  <c r="CC34" i="15"/>
  <c r="CC33" i="15"/>
  <c r="CC35" i="15"/>
  <c r="CC32" i="15"/>
  <c r="CC36" i="15"/>
  <c r="T35" i="15"/>
  <c r="T32" i="15"/>
  <c r="T33" i="15"/>
  <c r="T34" i="15"/>
  <c r="T36" i="15"/>
  <c r="AB35" i="15"/>
  <c r="AB32" i="15"/>
  <c r="AB33" i="15"/>
  <c r="AB34" i="15"/>
  <c r="AB36" i="15"/>
  <c r="CL35" i="15"/>
  <c r="CL32" i="15"/>
  <c r="CL34" i="15"/>
  <c r="CL33" i="15"/>
  <c r="CL36" i="15"/>
  <c r="BO34" i="15"/>
  <c r="BO36" i="15"/>
  <c r="BO35" i="15"/>
  <c r="BO32" i="15"/>
  <c r="BO33" i="15"/>
  <c r="AT32" i="15"/>
  <c r="AT35" i="15"/>
  <c r="AT34" i="15"/>
  <c r="AT36" i="15"/>
  <c r="AT33" i="15"/>
  <c r="AS32" i="15"/>
  <c r="AS35" i="15"/>
  <c r="AS34" i="15"/>
  <c r="AS36" i="15"/>
  <c r="AS33" i="15"/>
  <c r="K46" i="15"/>
  <c r="K47" i="15"/>
  <c r="K45" i="15"/>
  <c r="K44" i="15"/>
  <c r="BI36" i="15"/>
  <c r="BI32" i="15"/>
  <c r="BI35" i="15"/>
  <c r="BI34" i="15"/>
  <c r="BI33" i="15"/>
  <c r="AC46" i="15"/>
  <c r="AC44" i="15"/>
  <c r="AC45" i="15"/>
  <c r="AC47" i="15"/>
  <c r="AP45" i="15"/>
  <c r="AP47" i="15"/>
  <c r="AP46" i="15"/>
  <c r="AP44" i="15"/>
  <c r="CO46" i="15"/>
  <c r="CO44" i="15"/>
  <c r="CO45" i="15"/>
  <c r="CO47" i="15"/>
  <c r="T47" i="15"/>
  <c r="T45" i="15"/>
  <c r="T46" i="15"/>
  <c r="T44" i="15"/>
  <c r="AK46" i="15"/>
  <c r="AK44" i="15"/>
  <c r="AK47" i="15"/>
  <c r="AK45" i="15"/>
  <c r="AX45" i="15"/>
  <c r="AX47" i="15"/>
  <c r="AX44" i="15"/>
  <c r="AX46" i="15"/>
  <c r="AS46" i="15"/>
  <c r="AS44" i="15"/>
  <c r="AS47" i="15"/>
  <c r="AS45" i="15"/>
  <c r="BA36" i="15"/>
  <c r="BA32" i="15"/>
  <c r="BA33" i="15"/>
  <c r="BA35" i="15"/>
  <c r="BA34" i="15"/>
  <c r="BJ36" i="15"/>
  <c r="BJ32" i="15"/>
  <c r="BJ33" i="15"/>
  <c r="BJ34" i="15"/>
  <c r="BJ35" i="15"/>
  <c r="BS36" i="15"/>
  <c r="BS35" i="15"/>
  <c r="BS34" i="15"/>
  <c r="BS33" i="15"/>
  <c r="BS32" i="15"/>
  <c r="CN35" i="15"/>
  <c r="CN36" i="15"/>
  <c r="CN32" i="15"/>
  <c r="CN34" i="15"/>
  <c r="CN33" i="15"/>
  <c r="J35" i="15"/>
  <c r="J32" i="15"/>
  <c r="J34" i="15"/>
  <c r="J33" i="15"/>
  <c r="J36" i="15"/>
  <c r="R35" i="15"/>
  <c r="R32" i="15"/>
  <c r="R33" i="15"/>
  <c r="R34" i="15"/>
  <c r="R36" i="15"/>
  <c r="K34" i="15"/>
  <c r="K33" i="15"/>
  <c r="K36" i="15"/>
  <c r="K35" i="15"/>
  <c r="K32" i="15"/>
  <c r="BW36" i="15"/>
  <c r="BW33" i="15"/>
  <c r="BW34" i="15"/>
  <c r="BW35" i="15"/>
  <c r="BW32" i="15"/>
  <c r="AJ35" i="15"/>
  <c r="AJ34" i="15"/>
  <c r="AJ36" i="15"/>
  <c r="AJ32" i="15"/>
  <c r="AJ33" i="15"/>
  <c r="AH36" i="15"/>
  <c r="AH35" i="15"/>
  <c r="AH34" i="15"/>
  <c r="AH32" i="15"/>
  <c r="AH33" i="15"/>
  <c r="CH38" i="15" l="1"/>
  <c r="AG38" i="15"/>
  <c r="BL38" i="15"/>
  <c r="BB38" i="15"/>
  <c r="X38" i="15"/>
  <c r="O38" i="15"/>
  <c r="AR38" i="15"/>
  <c r="BX38" i="15"/>
  <c r="R38" i="15"/>
  <c r="AY38" i="15"/>
  <c r="M38" i="15"/>
  <c r="AD38" i="15"/>
  <c r="AX38" i="15"/>
  <c r="AH38" i="15"/>
  <c r="BI38" i="15"/>
  <c r="CL38" i="15"/>
  <c r="N38" i="15"/>
  <c r="BW38" i="15"/>
  <c r="BT38" i="15"/>
  <c r="BC38" i="15"/>
  <c r="CD38" i="15"/>
  <c r="AZ38" i="15"/>
  <c r="U38" i="15"/>
  <c r="BQ38" i="15"/>
  <c r="AM38" i="15"/>
  <c r="P38" i="15"/>
  <c r="AA38" i="15"/>
  <c r="BR38" i="15"/>
  <c r="AN38" i="15"/>
  <c r="BS38" i="15"/>
  <c r="BJ38" i="15"/>
  <c r="AS38" i="15"/>
  <c r="T38" i="15"/>
  <c r="BV38" i="15"/>
  <c r="CP38" i="15"/>
  <c r="V38" i="15"/>
  <c r="CB38" i="15"/>
  <c r="BF38" i="15"/>
  <c r="W38" i="15"/>
  <c r="AW38" i="15"/>
  <c r="CF38" i="15"/>
  <c r="AP38" i="15"/>
  <c r="J38" i="15"/>
  <c r="BG38" i="15"/>
  <c r="AU38" i="15"/>
  <c r="AL38" i="15"/>
  <c r="BN38" i="15"/>
  <c r="BH38" i="15"/>
  <c r="S38" i="15"/>
  <c r="CM38" i="15"/>
  <c r="BO38" i="15"/>
  <c r="AJ38" i="15"/>
  <c r="AB38" i="15"/>
  <c r="CC38" i="15"/>
  <c r="AC38" i="15"/>
  <c r="Z38" i="15"/>
  <c r="BZ38" i="15"/>
  <c r="AV38" i="15"/>
  <c r="AI38" i="15"/>
  <c r="CE38" i="15"/>
  <c r="AO38" i="15"/>
  <c r="Q38" i="15"/>
  <c r="CO38" i="15"/>
  <c r="BP38" i="15"/>
  <c r="BY38" i="15"/>
  <c r="AE38" i="15"/>
  <c r="CK38" i="15"/>
  <c r="K38" i="15"/>
  <c r="BD38" i="15"/>
  <c r="BU38" i="15"/>
  <c r="AQ38" i="15"/>
  <c r="CN38" i="15"/>
  <c r="BA38" i="15"/>
  <c r="AT38" i="15"/>
  <c r="CG38" i="15"/>
  <c r="AF38" i="15"/>
  <c r="BK38" i="15"/>
  <c r="AK38" i="15"/>
  <c r="L38" i="15"/>
  <c r="BM38" i="15"/>
  <c r="BE38" i="15"/>
  <c r="CI38" i="15"/>
  <c r="Y38" i="15"/>
  <c r="CA38" i="15"/>
  <c r="H39" i="15" l="1"/>
  <c r="AK20" i="21" l="1"/>
  <c r="AK32" i="21" s="1"/>
  <c r="AK47" i="21" s="1"/>
  <c r="K22" i="21"/>
  <c r="K34" i="21" s="1"/>
  <c r="K49" i="21" s="1"/>
  <c r="AE19" i="21"/>
  <c r="AL20" i="21"/>
  <c r="AL32" i="21" s="1"/>
  <c r="AL47" i="21" s="1"/>
  <c r="AO20" i="15"/>
  <c r="AW20" i="15"/>
  <c r="T21" i="15"/>
  <c r="AB21" i="15"/>
  <c r="CF21" i="15"/>
  <c r="CN21" i="15"/>
  <c r="AF19" i="21"/>
  <c r="AN19" i="21"/>
  <c r="AD21" i="21"/>
  <c r="AD33" i="21" s="1"/>
  <c r="AD48" i="21" s="1"/>
  <c r="AL21" i="21"/>
  <c r="AL33" i="21" s="1"/>
  <c r="AL48" i="21" s="1"/>
  <c r="H95" i="22"/>
  <c r="N19" i="21"/>
  <c r="U20" i="21"/>
  <c r="U32" i="21" s="1"/>
  <c r="U47" i="21" s="1"/>
  <c r="BO21" i="15"/>
  <c r="AD60" i="21"/>
  <c r="Z20" i="15"/>
  <c r="AH20" i="15"/>
  <c r="M21" i="15"/>
  <c r="U21" i="15"/>
  <c r="BY21" i="15"/>
  <c r="CG21" i="15"/>
  <c r="Y19" i="21"/>
  <c r="AG19" i="21"/>
  <c r="W21" i="21"/>
  <c r="W33" i="21" s="1"/>
  <c r="W48" i="21" s="1"/>
  <c r="AE21" i="21"/>
  <c r="AE33" i="21" s="1"/>
  <c r="AE48" i="21" s="1"/>
  <c r="H20" i="22"/>
  <c r="H104" i="22"/>
  <c r="AC60" i="21"/>
  <c r="M20" i="21"/>
  <c r="M32" i="21" s="1"/>
  <c r="M47" i="21" s="1"/>
  <c r="M21" i="21"/>
  <c r="M33" i="21" s="1"/>
  <c r="M48" i="21" s="1"/>
  <c r="J26" i="21"/>
  <c r="J32" i="21" s="1"/>
  <c r="J47" i="21" s="1"/>
  <c r="CE20" i="15"/>
  <c r="CM20" i="15"/>
  <c r="BJ21" i="15"/>
  <c r="BR21" i="15"/>
  <c r="R19" i="21"/>
  <c r="AO20" i="21"/>
  <c r="AO32" i="21" s="1"/>
  <c r="AO47" i="21" s="1"/>
  <c r="P21" i="21"/>
  <c r="P33" i="21" s="1"/>
  <c r="P48" i="21" s="1"/>
  <c r="AM22" i="21"/>
  <c r="AM34" i="21" s="1"/>
  <c r="AM49" i="21" s="1"/>
  <c r="H21" i="20"/>
  <c r="AP21" i="15"/>
  <c r="M60" i="21"/>
  <c r="AD20" i="21"/>
  <c r="AD32" i="21" s="1"/>
  <c r="AD47" i="21" s="1"/>
  <c r="AJ20" i="15"/>
  <c r="AR20" i="15"/>
  <c r="O21" i="15"/>
  <c r="W21" i="15"/>
  <c r="CA21" i="15"/>
  <c r="CI21" i="15"/>
  <c r="AA19" i="21"/>
  <c r="AI19" i="21"/>
  <c r="Y21" i="21"/>
  <c r="Y33" i="21" s="1"/>
  <c r="Y48" i="21" s="1"/>
  <c r="AG21" i="21"/>
  <c r="AG33" i="21" s="1"/>
  <c r="AG48" i="21" s="1"/>
  <c r="H58" i="22"/>
  <c r="V19" i="21"/>
  <c r="L21" i="21"/>
  <c r="L33" i="21" s="1"/>
  <c r="L48" i="21" s="1"/>
  <c r="O19" i="21"/>
  <c r="V20" i="21"/>
  <c r="V32" i="21" s="1"/>
  <c r="V47" i="21" s="1"/>
  <c r="U20" i="15"/>
  <c r="AC20" i="15"/>
  <c r="CG20" i="15"/>
  <c r="CO20" i="15"/>
  <c r="BL21" i="15"/>
  <c r="BT21" i="15"/>
  <c r="L19" i="21"/>
  <c r="T19" i="21"/>
  <c r="R21" i="21"/>
  <c r="R33" i="21" s="1"/>
  <c r="R48" i="21" s="1"/>
  <c r="AO22" i="21"/>
  <c r="AO34" i="21" s="1"/>
  <c r="AO49" i="21" s="1"/>
  <c r="H23" i="20"/>
  <c r="R21" i="15"/>
  <c r="BN21" i="15"/>
  <c r="BT20" i="15"/>
  <c r="AA21" i="15"/>
  <c r="S20" i="15"/>
  <c r="BJ20" i="15"/>
  <c r="BR20" i="15"/>
  <c r="AO21" i="15"/>
  <c r="AW21" i="15"/>
  <c r="T60" i="21"/>
  <c r="AB60" i="21"/>
  <c r="T20" i="21"/>
  <c r="T32" i="21" s="1"/>
  <c r="T47" i="21" s="1"/>
  <c r="AB20" i="21"/>
  <c r="AB32" i="21" s="1"/>
  <c r="AB47" i="21" s="1"/>
  <c r="R22" i="21"/>
  <c r="R34" i="21" s="1"/>
  <c r="R49" i="21" s="1"/>
  <c r="Z22" i="21"/>
  <c r="Z34" i="21" s="1"/>
  <c r="Z49" i="21" s="1"/>
  <c r="AH21" i="15"/>
  <c r="BJ24" i="15" l="1"/>
  <c r="U24" i="15"/>
  <c r="BR24" i="15"/>
  <c r="AW24" i="15"/>
  <c r="BT24" i="15"/>
  <c r="T31" i="21"/>
  <c r="AH24" i="15"/>
  <c r="AG31" i="21"/>
  <c r="AN31" i="21"/>
  <c r="R31" i="21"/>
  <c r="V31" i="21"/>
  <c r="Y31" i="21"/>
  <c r="AF31" i="21"/>
  <c r="AE31" i="21"/>
  <c r="AI31" i="21"/>
  <c r="L31" i="21"/>
  <c r="CG24" i="15"/>
  <c r="O31" i="21"/>
  <c r="AA31" i="21"/>
  <c r="N31" i="21"/>
  <c r="AO24" i="15"/>
  <c r="L20" i="21"/>
  <c r="L32" i="21" s="1"/>
  <c r="L47" i="21" s="1"/>
  <c r="L60" i="21"/>
  <c r="AG21" i="15"/>
  <c r="BB20" i="15"/>
  <c r="H94" i="22"/>
  <c r="AF20" i="15"/>
  <c r="BC20" i="15"/>
  <c r="AG22" i="21"/>
  <c r="AG34" i="21" s="1"/>
  <c r="AG49" i="21" s="1"/>
  <c r="AI20" i="21"/>
  <c r="AI32" i="21" s="1"/>
  <c r="AI47" i="21" s="1"/>
  <c r="AI60" i="21"/>
  <c r="BD21" i="15"/>
  <c r="BY20" i="15"/>
  <c r="BY24" i="15" s="1"/>
  <c r="M20" i="15"/>
  <c r="M24" i="15" s="1"/>
  <c r="CE21" i="15"/>
  <c r="CE24" i="15" s="1"/>
  <c r="CL21" i="15"/>
  <c r="H22" i="20"/>
  <c r="Q21" i="21"/>
  <c r="Q33" i="21" s="1"/>
  <c r="Q48" i="21" s="1"/>
  <c r="S19" i="21"/>
  <c r="BS21" i="15"/>
  <c r="CN20" i="15"/>
  <c r="CN24" i="15" s="1"/>
  <c r="AB20" i="15"/>
  <c r="AB24" i="15" s="1"/>
  <c r="N60" i="21"/>
  <c r="CA20" i="15"/>
  <c r="CA24" i="15" s="1"/>
  <c r="AE22" i="21"/>
  <c r="AE34" i="21" s="1"/>
  <c r="AE49" i="21" s="1"/>
  <c r="AG20" i="21"/>
  <c r="AG32" i="21" s="1"/>
  <c r="AG47" i="21" s="1"/>
  <c r="AG60" i="21"/>
  <c r="BB21" i="15"/>
  <c r="BW20" i="15"/>
  <c r="W19" i="21"/>
  <c r="AX21" i="15"/>
  <c r="J28" i="21"/>
  <c r="J34" i="21" s="1"/>
  <c r="J49" i="21" s="1"/>
  <c r="O21" i="21"/>
  <c r="O33" i="21" s="1"/>
  <c r="O48" i="21" s="1"/>
  <c r="Q19" i="21"/>
  <c r="BQ21" i="15"/>
  <c r="CL20" i="15"/>
  <c r="R20" i="15"/>
  <c r="R24" i="15" s="1"/>
  <c r="S21" i="15"/>
  <c r="S24" i="15" s="1"/>
  <c r="CD21" i="15"/>
  <c r="H19" i="22"/>
  <c r="V21" i="21"/>
  <c r="V33" i="21" s="1"/>
  <c r="V48" i="21" s="1"/>
  <c r="X19" i="21"/>
  <c r="BX21" i="15"/>
  <c r="L21" i="15"/>
  <c r="AG20" i="15"/>
  <c r="V60" i="21"/>
  <c r="AL19" i="21"/>
  <c r="AI21" i="21"/>
  <c r="AI33" i="21" s="1"/>
  <c r="AI48" i="21" s="1"/>
  <c r="AK19" i="21"/>
  <c r="CK21" i="15"/>
  <c r="Y21" i="15"/>
  <c r="AT20" i="15"/>
  <c r="T22" i="21"/>
  <c r="T34" i="21" s="1"/>
  <c r="T49" i="21" s="1"/>
  <c r="Y22" i="21"/>
  <c r="Y34" i="21" s="1"/>
  <c r="Y49" i="21" s="1"/>
  <c r="AA20" i="21"/>
  <c r="AA32" i="21" s="1"/>
  <c r="AA47" i="21" s="1"/>
  <c r="AA60" i="21"/>
  <c r="AV21" i="15"/>
  <c r="BQ20" i="15"/>
  <c r="AQ21" i="15"/>
  <c r="BF21" i="15"/>
  <c r="AN22" i="21"/>
  <c r="AN34" i="21" s="1"/>
  <c r="AN49" i="21" s="1"/>
  <c r="AQ20" i="21"/>
  <c r="AQ32" i="21" s="1"/>
  <c r="AQ47" i="21" s="1"/>
  <c r="K19" i="21"/>
  <c r="BK21" i="15"/>
  <c r="CF20" i="15"/>
  <c r="CF24" i="15" s="1"/>
  <c r="T20" i="15"/>
  <c r="T24" i="15" s="1"/>
  <c r="AY21" i="15"/>
  <c r="AE20" i="15"/>
  <c r="W22" i="21"/>
  <c r="W34" i="21" s="1"/>
  <c r="W49" i="21" s="1"/>
  <c r="Y20" i="21"/>
  <c r="Y32" i="21" s="1"/>
  <c r="Y47" i="21" s="1"/>
  <c r="Y60" i="21"/>
  <c r="AT21" i="15"/>
  <c r="BO20" i="15"/>
  <c r="BO24" i="15" s="1"/>
  <c r="CM21" i="15"/>
  <c r="CM24" i="15" s="1"/>
  <c r="CI20" i="15"/>
  <c r="CI24" i="15" s="1"/>
  <c r="AL22" i="21"/>
  <c r="AL34" i="21" s="1"/>
  <c r="AL49" i="21" s="1"/>
  <c r="AN20" i="21"/>
  <c r="AN32" i="21" s="1"/>
  <c r="AN47" i="21" s="1"/>
  <c r="BI21" i="15"/>
  <c r="CD20" i="15"/>
  <c r="J20" i="15"/>
  <c r="BD20" i="15"/>
  <c r="Z21" i="15"/>
  <c r="Z24" i="15" s="1"/>
  <c r="J27" i="21"/>
  <c r="J33" i="21" s="1"/>
  <c r="J48" i="21" s="1"/>
  <c r="N21" i="21"/>
  <c r="N33" i="21" s="1"/>
  <c r="N48" i="21" s="1"/>
  <c r="P19" i="21"/>
  <c r="BP21" i="15"/>
  <c r="CK20" i="15"/>
  <c r="Y20" i="15"/>
  <c r="BG21" i="15"/>
  <c r="AK60" i="21"/>
  <c r="H74" i="22"/>
  <c r="AA21" i="21"/>
  <c r="AA33" i="21" s="1"/>
  <c r="AA48" i="21" s="1"/>
  <c r="AC19" i="21"/>
  <c r="CC21" i="15"/>
  <c r="Q21" i="15"/>
  <c r="AL20" i="15"/>
  <c r="AC21" i="21"/>
  <c r="AC33" i="21" s="1"/>
  <c r="AC48" i="21" s="1"/>
  <c r="AA22" i="21"/>
  <c r="AA34" i="21" s="1"/>
  <c r="AA49" i="21" s="1"/>
  <c r="Q22" i="21"/>
  <c r="Q34" i="21" s="1"/>
  <c r="Q49" i="21" s="1"/>
  <c r="S20" i="21"/>
  <c r="S32" i="21" s="1"/>
  <c r="S47" i="21" s="1"/>
  <c r="S60" i="21"/>
  <c r="AN21" i="15"/>
  <c r="BI20" i="15"/>
  <c r="K20" i="15"/>
  <c r="CB20" i="15"/>
  <c r="J21" i="15"/>
  <c r="AF22" i="21"/>
  <c r="AF34" i="21" s="1"/>
  <c r="AF49" i="21" s="1"/>
  <c r="AH20" i="21"/>
  <c r="AH32" i="21" s="1"/>
  <c r="AH47" i="21" s="1"/>
  <c r="AH60" i="21"/>
  <c r="BC21" i="15"/>
  <c r="BX20" i="15"/>
  <c r="L20" i="15"/>
  <c r="CJ20" i="15"/>
  <c r="O22" i="21"/>
  <c r="O34" i="21" s="1"/>
  <c r="O49" i="21" s="1"/>
  <c r="Q20" i="21"/>
  <c r="Q32" i="21" s="1"/>
  <c r="Q47" i="21" s="1"/>
  <c r="Q60" i="21"/>
  <c r="AL21" i="15"/>
  <c r="BG20" i="15"/>
  <c r="AI21" i="15"/>
  <c r="AM20" i="15"/>
  <c r="AD22" i="21"/>
  <c r="AD34" i="21" s="1"/>
  <c r="AD49" i="21" s="1"/>
  <c r="AF20" i="21"/>
  <c r="AF32" i="21" s="1"/>
  <c r="AF47" i="21" s="1"/>
  <c r="AF60" i="21"/>
  <c r="BA21" i="15"/>
  <c r="BV20" i="15"/>
  <c r="P20" i="15"/>
  <c r="BK20" i="15"/>
  <c r="AK22" i="21"/>
  <c r="AK34" i="21" s="1"/>
  <c r="AK49" i="21" s="1"/>
  <c r="AM20" i="21"/>
  <c r="AM32" i="21" s="1"/>
  <c r="AM47" i="21" s="1"/>
  <c r="AM60" i="21"/>
  <c r="BH21" i="15"/>
  <c r="CC20" i="15"/>
  <c r="Q20" i="15"/>
  <c r="K21" i="15"/>
  <c r="BV21" i="15"/>
  <c r="H24" i="20"/>
  <c r="S21" i="21"/>
  <c r="S33" i="21" s="1"/>
  <c r="S48" i="21" s="1"/>
  <c r="U19" i="21"/>
  <c r="BU21" i="15"/>
  <c r="CP20" i="15"/>
  <c r="AD20" i="15"/>
  <c r="N20" i="21"/>
  <c r="N32" i="21" s="1"/>
  <c r="N47" i="21" s="1"/>
  <c r="T21" i="21"/>
  <c r="T33" i="21" s="1"/>
  <c r="T48" i="21" s="1"/>
  <c r="AQ21" i="21"/>
  <c r="AQ33" i="21" s="1"/>
  <c r="AQ48" i="21" s="1"/>
  <c r="K20" i="21"/>
  <c r="K32" i="21" s="1"/>
  <c r="K47" i="21" s="1"/>
  <c r="K60" i="21"/>
  <c r="AF21" i="15"/>
  <c r="BA20" i="15"/>
  <c r="AN20" i="15"/>
  <c r="AU20" i="15"/>
  <c r="X22" i="21"/>
  <c r="X34" i="21" s="1"/>
  <c r="X49" i="21" s="1"/>
  <c r="Z20" i="21"/>
  <c r="Z32" i="21" s="1"/>
  <c r="Z47" i="21" s="1"/>
  <c r="Z60" i="21"/>
  <c r="AU21" i="15"/>
  <c r="BP20" i="15"/>
  <c r="X20" i="15"/>
  <c r="AN21" i="21"/>
  <c r="AN33" i="21" s="1"/>
  <c r="AN48" i="21" s="1"/>
  <c r="AQ19" i="21"/>
  <c r="CP21" i="15"/>
  <c r="AD21" i="15"/>
  <c r="AY20" i="15"/>
  <c r="BL20" i="15"/>
  <c r="BL24" i="15" s="1"/>
  <c r="V22" i="21"/>
  <c r="V34" i="21" s="1"/>
  <c r="V49" i="21" s="1"/>
  <c r="X20" i="21"/>
  <c r="X32" i="21" s="1"/>
  <c r="X47" i="21" s="1"/>
  <c r="X60" i="21"/>
  <c r="AS21" i="15"/>
  <c r="BN20" i="15"/>
  <c r="BN24" i="15" s="1"/>
  <c r="AB22" i="21"/>
  <c r="AB34" i="21" s="1"/>
  <c r="AB49" i="21" s="1"/>
  <c r="O20" i="15"/>
  <c r="O24" i="15" s="1"/>
  <c r="AC22" i="21"/>
  <c r="AC34" i="21" s="1"/>
  <c r="AC49" i="21" s="1"/>
  <c r="AE20" i="21"/>
  <c r="AE32" i="21" s="1"/>
  <c r="AE47" i="21" s="1"/>
  <c r="AE60" i="21"/>
  <c r="AZ21" i="15"/>
  <c r="BU20" i="15"/>
  <c r="H27" i="24"/>
  <c r="AV20" i="15"/>
  <c r="AP20" i="15"/>
  <c r="AP24" i="15" s="1"/>
  <c r="AP22" i="21"/>
  <c r="AP34" i="21" s="1"/>
  <c r="AP49" i="21" s="1"/>
  <c r="AP60" i="21"/>
  <c r="AP21" i="21"/>
  <c r="AP33" i="21" s="1"/>
  <c r="AP48" i="21" s="1"/>
  <c r="AQ60" i="21"/>
  <c r="AP20" i="21"/>
  <c r="AP19" i="21"/>
  <c r="AO60" i="21"/>
  <c r="AQ22" i="21"/>
  <c r="AQ34" i="21" s="1"/>
  <c r="AQ49" i="21" s="1"/>
  <c r="K21" i="21"/>
  <c r="K33" i="21" s="1"/>
  <c r="K48" i="21" s="1"/>
  <c r="M19" i="21"/>
  <c r="BM21" i="15"/>
  <c r="CH20" i="15"/>
  <c r="V20" i="15"/>
  <c r="AL60" i="21"/>
  <c r="AD19" i="21"/>
  <c r="AD118" i="21" s="1"/>
  <c r="AH21" i="21"/>
  <c r="AH33" i="21" s="1"/>
  <c r="AH48" i="21" s="1"/>
  <c r="AJ19" i="21"/>
  <c r="CJ21" i="15"/>
  <c r="X21" i="15"/>
  <c r="AS20" i="15"/>
  <c r="AJ22" i="21"/>
  <c r="AJ34" i="21" s="1"/>
  <c r="AJ49" i="21" s="1"/>
  <c r="H25" i="20"/>
  <c r="P22" i="21"/>
  <c r="P34" i="21" s="1"/>
  <c r="P49" i="21" s="1"/>
  <c r="R20" i="21"/>
  <c r="R32" i="21" s="1"/>
  <c r="R47" i="21" s="1"/>
  <c r="R60" i="21"/>
  <c r="AM21" i="15"/>
  <c r="BH20" i="15"/>
  <c r="AQ20" i="15"/>
  <c r="AF21" i="21"/>
  <c r="AF33" i="21" s="1"/>
  <c r="AF48" i="21" s="1"/>
  <c r="AH19" i="21"/>
  <c r="CH21" i="15"/>
  <c r="V21" i="15"/>
  <c r="AI20" i="15"/>
  <c r="J25" i="21"/>
  <c r="J31" i="21" s="1"/>
  <c r="N22" i="21"/>
  <c r="N34" i="21" s="1"/>
  <c r="N49" i="21" s="1"/>
  <c r="P20" i="21"/>
  <c r="P32" i="21" s="1"/>
  <c r="P47" i="21" s="1"/>
  <c r="P60" i="21"/>
  <c r="AK21" i="15"/>
  <c r="BF20" i="15"/>
  <c r="U21" i="21"/>
  <c r="U33" i="21" s="1"/>
  <c r="U48" i="21" s="1"/>
  <c r="AI22" i="21"/>
  <c r="AI34" i="21" s="1"/>
  <c r="AI49" i="21" s="1"/>
  <c r="U22" i="21"/>
  <c r="U34" i="21" s="1"/>
  <c r="U49" i="21" s="1"/>
  <c r="W20" i="21"/>
  <c r="W32" i="21" s="1"/>
  <c r="W47" i="21" s="1"/>
  <c r="W60" i="21"/>
  <c r="AR21" i="15"/>
  <c r="AR24" i="15" s="1"/>
  <c r="BM20" i="15"/>
  <c r="H29" i="20"/>
  <c r="H28" i="24"/>
  <c r="BS20" i="15"/>
  <c r="AH22" i="21"/>
  <c r="AH34" i="21" s="1"/>
  <c r="AH49" i="21" s="1"/>
  <c r="AJ20" i="21"/>
  <c r="AJ32" i="21" s="1"/>
  <c r="AJ47" i="21" s="1"/>
  <c r="AJ60" i="21"/>
  <c r="BE21" i="15"/>
  <c r="BZ20" i="15"/>
  <c r="N20" i="15"/>
  <c r="BW21" i="15"/>
  <c r="U60" i="21"/>
  <c r="H60" i="22"/>
  <c r="Z21" i="21"/>
  <c r="Z33" i="21" s="1"/>
  <c r="Z48" i="21" s="1"/>
  <c r="AB19" i="21"/>
  <c r="CB21" i="15"/>
  <c r="P21" i="15"/>
  <c r="AK20" i="15"/>
  <c r="AK21" i="21"/>
  <c r="AK33" i="21" s="1"/>
  <c r="AK48" i="21" s="1"/>
  <c r="S22" i="21"/>
  <c r="S34" i="21" s="1"/>
  <c r="S49" i="21" s="1"/>
  <c r="AO21" i="21"/>
  <c r="AO33" i="21" s="1"/>
  <c r="AO48" i="21" s="1"/>
  <c r="J60" i="21"/>
  <c r="AE21" i="15"/>
  <c r="AZ20" i="15"/>
  <c r="AA20" i="15"/>
  <c r="AA24" i="15" s="1"/>
  <c r="AC20" i="21"/>
  <c r="AC32" i="21" s="1"/>
  <c r="AC47" i="21" s="1"/>
  <c r="H21" i="22"/>
  <c r="X21" i="21"/>
  <c r="X33" i="21" s="1"/>
  <c r="X48" i="21" s="1"/>
  <c r="Z19" i="21"/>
  <c r="BZ21" i="15"/>
  <c r="N21" i="15"/>
  <c r="AJ21" i="21"/>
  <c r="AJ33" i="21" s="1"/>
  <c r="AJ48" i="21" s="1"/>
  <c r="AM21" i="21"/>
  <c r="AM33" i="21" s="1"/>
  <c r="AM48" i="21" s="1"/>
  <c r="AO19" i="21"/>
  <c r="CO21" i="15"/>
  <c r="CO24" i="15" s="1"/>
  <c r="AC21" i="15"/>
  <c r="AC24" i="15" s="1"/>
  <c r="AX20" i="15"/>
  <c r="AX24" i="15" s="1"/>
  <c r="AM19" i="21"/>
  <c r="AB21" i="21"/>
  <c r="AB33" i="21" s="1"/>
  <c r="AB48" i="21" s="1"/>
  <c r="M22" i="21"/>
  <c r="M34" i="21" s="1"/>
  <c r="M49" i="21" s="1"/>
  <c r="O20" i="21"/>
  <c r="O32" i="21" s="1"/>
  <c r="O47" i="21" s="1"/>
  <c r="O60" i="21"/>
  <c r="AJ21" i="15"/>
  <c r="AJ24" i="15" s="1"/>
  <c r="BE20" i="15"/>
  <c r="L22" i="21"/>
  <c r="L34" i="21" s="1"/>
  <c r="L49" i="21" s="1"/>
  <c r="H93" i="22"/>
  <c r="W20" i="15"/>
  <c r="W24" i="15" s="1"/>
  <c r="AO118" i="21" l="1"/>
  <c r="BF24" i="15"/>
  <c r="AV24" i="15"/>
  <c r="CL24" i="15"/>
  <c r="Q24" i="15"/>
  <c r="BD24" i="15"/>
  <c r="Y24" i="15"/>
  <c r="L24" i="15"/>
  <c r="BS24" i="15"/>
  <c r="BP24" i="15"/>
  <c r="BX24" i="15"/>
  <c r="AG24" i="15"/>
  <c r="BK24" i="15"/>
  <c r="BH24" i="15"/>
  <c r="BA24" i="15"/>
  <c r="AZ24" i="15"/>
  <c r="AY24" i="15"/>
  <c r="AQ24" i="15"/>
  <c r="AQ118" i="21"/>
  <c r="U118" i="21"/>
  <c r="P24" i="15"/>
  <c r="P118" i="21"/>
  <c r="AK118" i="21"/>
  <c r="X118" i="21"/>
  <c r="W118" i="21"/>
  <c r="BI24" i="15"/>
  <c r="BQ24" i="15"/>
  <c r="N24" i="15"/>
  <c r="AS24" i="15"/>
  <c r="BU24" i="15"/>
  <c r="CC24" i="15"/>
  <c r="CK24" i="15"/>
  <c r="CD24" i="15"/>
  <c r="M118" i="21"/>
  <c r="V118" i="21"/>
  <c r="AC118" i="21"/>
  <c r="BG24" i="15"/>
  <c r="O118" i="21"/>
  <c r="R118" i="21"/>
  <c r="AE118" i="21"/>
  <c r="Q118" i="21"/>
  <c r="AA118" i="21"/>
  <c r="AH118" i="21"/>
  <c r="M58" i="20"/>
  <c r="AP32" i="21"/>
  <c r="AP47" i="21" s="1"/>
  <c r="AP118" i="21"/>
  <c r="L118" i="21"/>
  <c r="AI118" i="21"/>
  <c r="AF118" i="21"/>
  <c r="AN118" i="21"/>
  <c r="Z118" i="21"/>
  <c r="AB118" i="21"/>
  <c r="AJ118" i="21"/>
  <c r="AM118" i="21"/>
  <c r="AN24" i="15"/>
  <c r="K118" i="21"/>
  <c r="AL118" i="21"/>
  <c r="S118" i="21"/>
  <c r="N118" i="21"/>
  <c r="T118" i="21"/>
  <c r="Y118" i="21"/>
  <c r="AG118" i="21"/>
  <c r="AC31" i="21"/>
  <c r="P31" i="21"/>
  <c r="AN60" i="21"/>
  <c r="H62" i="22"/>
  <c r="H64" i="22" s="1"/>
  <c r="H66" i="22" s="1"/>
  <c r="AK31" i="21"/>
  <c r="X31" i="21"/>
  <c r="Q31" i="21"/>
  <c r="W31" i="21"/>
  <c r="N40" i="20"/>
  <c r="K24" i="15"/>
  <c r="L118" i="22"/>
  <c r="L120" i="22" s="1"/>
  <c r="H102" i="22"/>
  <c r="H106" i="22" s="1"/>
  <c r="J118" i="22"/>
  <c r="J120" i="22" s="1"/>
  <c r="K118" i="22"/>
  <c r="K120" i="22" s="1"/>
  <c r="Z31" i="21"/>
  <c r="AB31" i="21"/>
  <c r="AH31" i="21"/>
  <c r="AJ31" i="21"/>
  <c r="M31" i="21"/>
  <c r="AP31" i="21"/>
  <c r="AD24" i="15"/>
  <c r="AL24" i="15"/>
  <c r="J24" i="15"/>
  <c r="AT24" i="15"/>
  <c r="BW24" i="15"/>
  <c r="BB24" i="15"/>
  <c r="L40" i="20"/>
  <c r="L58" i="20"/>
  <c r="AD31" i="21"/>
  <c r="AQ31" i="21"/>
  <c r="U31" i="21"/>
  <c r="AM31" i="21"/>
  <c r="AO31" i="21"/>
  <c r="AK24" i="15"/>
  <c r="J34" i="20"/>
  <c r="J52" i="20" s="1"/>
  <c r="J58" i="20" s="1"/>
  <c r="H31" i="20"/>
  <c r="K34" i="20" s="1"/>
  <c r="K52" i="20" s="1"/>
  <c r="K58" i="20" s="1"/>
  <c r="AI24" i="15"/>
  <c r="V24" i="15"/>
  <c r="AU24" i="15"/>
  <c r="CP24" i="15"/>
  <c r="BV24" i="15"/>
  <c r="AE24" i="15"/>
  <c r="H23" i="22"/>
  <c r="H25" i="22" s="1"/>
  <c r="BC24" i="15"/>
  <c r="M40" i="20"/>
  <c r="BE24" i="15"/>
  <c r="BZ24" i="15"/>
  <c r="BM24" i="15"/>
  <c r="CH24" i="15"/>
  <c r="X24" i="15"/>
  <c r="AM24" i="15"/>
  <c r="CJ24" i="15"/>
  <c r="CB24" i="15"/>
  <c r="K31" i="21"/>
  <c r="AL31" i="21"/>
  <c r="S31" i="21"/>
  <c r="AF24" i="15"/>
  <c r="K40" i="20" l="1"/>
  <c r="H29" i="22"/>
  <c r="H27" i="22"/>
  <c r="M115" i="22"/>
  <c r="M118" i="22" s="1"/>
  <c r="M120" i="22" s="1"/>
  <c r="N115" i="22"/>
  <c r="N114" i="22"/>
  <c r="H53" i="15"/>
  <c r="H128" i="15" s="1"/>
  <c r="H52" i="15"/>
  <c r="H85" i="15"/>
  <c r="H56" i="15"/>
  <c r="H105" i="15" s="1"/>
  <c r="H84" i="15"/>
  <c r="H54" i="15"/>
  <c r="H129" i="15" s="1"/>
  <c r="H55" i="15"/>
  <c r="H130" i="15" s="1"/>
  <c r="H25" i="15"/>
  <c r="H83" i="15"/>
  <c r="H86" i="15"/>
  <c r="H119" i="21"/>
  <c r="J40" i="20"/>
  <c r="H41" i="20" l="1"/>
  <c r="H42" i="20" s="1"/>
  <c r="L44" i="20" s="1"/>
  <c r="L35" i="22" s="1"/>
  <c r="H88" i="15"/>
  <c r="H89" i="15" s="1"/>
  <c r="H58" i="15"/>
  <c r="H62" i="15" s="1"/>
  <c r="H63" i="15" s="1"/>
  <c r="H127" i="15"/>
  <c r="H59" i="15"/>
  <c r="N118" i="22"/>
  <c r="N120" i="22" s="1"/>
  <c r="J44" i="20" l="1"/>
  <c r="J35" i="22" s="1"/>
  <c r="N44" i="20"/>
  <c r="N35" i="22" s="1"/>
  <c r="K44" i="20"/>
  <c r="K35" i="22" s="1"/>
  <c r="M44" i="20"/>
  <c r="M35" i="22" s="1"/>
  <c r="H93" i="15"/>
  <c r="H164" i="22" s="1"/>
  <c r="H92" i="15"/>
  <c r="H95" i="15"/>
  <c r="H166" i="22" s="1"/>
  <c r="H94" i="15"/>
  <c r="H165" i="22" s="1"/>
  <c r="H136" i="22"/>
  <c r="H60" i="15"/>
  <c r="H45" i="20" l="1"/>
  <c r="H163" i="22"/>
  <c r="H97" i="15"/>
  <c r="H68" i="15"/>
  <c r="H76" i="21" s="1"/>
  <c r="H69" i="15"/>
  <c r="H77" i="21" s="1"/>
  <c r="H70" i="15"/>
  <c r="H78" i="21" s="1"/>
  <c r="H67" i="15"/>
  <c r="H66" i="15"/>
  <c r="H74" i="21" l="1"/>
  <c r="H72" i="15"/>
  <c r="H75" i="15"/>
  <c r="H75" i="21"/>
  <c r="H76" i="15"/>
  <c r="H78" i="15" l="1"/>
  <c r="H38" i="21"/>
  <c r="AJ45" i="21" l="1"/>
  <c r="AO45" i="21"/>
  <c r="X45" i="21"/>
  <c r="AD45" i="21"/>
  <c r="L45" i="21"/>
  <c r="Z45" i="21"/>
  <c r="N45" i="21"/>
  <c r="M45" i="21"/>
  <c r="P45" i="21"/>
  <c r="J45" i="21"/>
  <c r="J46" i="21" s="1"/>
  <c r="J51" i="21" s="1"/>
  <c r="J62" i="21" s="1"/>
  <c r="J69" i="21" s="1"/>
  <c r="AB45" i="21"/>
  <c r="K45" i="21"/>
  <c r="AC45" i="21"/>
  <c r="AQ45" i="21"/>
  <c r="AG45" i="21"/>
  <c r="U45" i="21"/>
  <c r="U46" i="21" s="1"/>
  <c r="U51" i="21" s="1"/>
  <c r="U62" i="21" s="1"/>
  <c r="U69" i="21" s="1"/>
  <c r="AF45" i="21"/>
  <c r="AH45" i="21"/>
  <c r="AM45" i="21"/>
  <c r="Q45" i="21"/>
  <c r="AP45" i="21"/>
  <c r="AP46" i="21" s="1"/>
  <c r="AP51" i="21" s="1"/>
  <c r="AP62" i="21" s="1"/>
  <c r="AP69" i="21" s="1"/>
  <c r="R45" i="21"/>
  <c r="V45" i="21"/>
  <c r="AA45" i="21"/>
  <c r="W45" i="21"/>
  <c r="O45" i="21"/>
  <c r="T45" i="21"/>
  <c r="AL45" i="21"/>
  <c r="AI45" i="21"/>
  <c r="AE45" i="21"/>
  <c r="S45" i="21"/>
  <c r="Y45" i="21"/>
  <c r="AK45" i="21"/>
  <c r="AN45" i="21"/>
  <c r="U109" i="21" l="1"/>
  <c r="U116" i="21" s="1"/>
  <c r="U92" i="21"/>
  <c r="U131" i="21" s="1"/>
  <c r="U23" i="38" s="1"/>
  <c r="U93" i="21"/>
  <c r="U132" i="21" s="1"/>
  <c r="U24" i="38" s="1"/>
  <c r="U91" i="21"/>
  <c r="U130" i="21" s="1"/>
  <c r="U22" i="38" s="1"/>
  <c r="U90" i="21"/>
  <c r="U94" i="21"/>
  <c r="U133" i="21" s="1"/>
  <c r="T46" i="21"/>
  <c r="T51" i="21" s="1"/>
  <c r="T62" i="21" s="1"/>
  <c r="AG46" i="21"/>
  <c r="AG51" i="21" s="1"/>
  <c r="AG62" i="21" s="1"/>
  <c r="N46" i="21"/>
  <c r="N51" i="21" s="1"/>
  <c r="N62" i="21" s="1"/>
  <c r="AN46" i="21"/>
  <c r="AN51" i="21" s="1"/>
  <c r="AN62" i="21" s="1"/>
  <c r="O46" i="21"/>
  <c r="O51" i="21" s="1"/>
  <c r="O62" i="21" s="1"/>
  <c r="R46" i="21"/>
  <c r="R51" i="21" s="1"/>
  <c r="R62" i="21" s="1"/>
  <c r="AH46" i="21"/>
  <c r="AH51" i="21" s="1"/>
  <c r="AH62" i="21" s="1"/>
  <c r="AQ46" i="21"/>
  <c r="AQ51" i="21" s="1"/>
  <c r="AQ62" i="21" s="1"/>
  <c r="J109" i="21"/>
  <c r="J116" i="21" s="1"/>
  <c r="J90" i="21"/>
  <c r="J91" i="21"/>
  <c r="J130" i="21" s="1"/>
  <c r="J22" i="38" s="1"/>
  <c r="J92" i="21"/>
  <c r="J131" i="21" s="1"/>
  <c r="J23" i="38" s="1"/>
  <c r="J93" i="21"/>
  <c r="J132" i="21" s="1"/>
  <c r="J24" i="38" s="1"/>
  <c r="J94" i="21"/>
  <c r="J133" i="21" s="1"/>
  <c r="Z46" i="21"/>
  <c r="Z51" i="21" s="1"/>
  <c r="Z62" i="21" s="1"/>
  <c r="AO46" i="21"/>
  <c r="AO51" i="21" s="1"/>
  <c r="AO62" i="21" s="1"/>
  <c r="Y46" i="21"/>
  <c r="Y51" i="21" s="1"/>
  <c r="Y62" i="21" s="1"/>
  <c r="AL46" i="21"/>
  <c r="AL51" i="21" s="1"/>
  <c r="AL62" i="21" s="1"/>
  <c r="AA46" i="21"/>
  <c r="AA51" i="21" s="1"/>
  <c r="AA62" i="21" s="1"/>
  <c r="Q46" i="21"/>
  <c r="Q51" i="21" s="1"/>
  <c r="Q62" i="21" s="1"/>
  <c r="K46" i="21"/>
  <c r="K51" i="21" s="1"/>
  <c r="K62" i="21" s="1"/>
  <c r="M46" i="21"/>
  <c r="M51" i="21" s="1"/>
  <c r="M62" i="21" s="1"/>
  <c r="AD46" i="21"/>
  <c r="AD51" i="21" s="1"/>
  <c r="AD62" i="21" s="1"/>
  <c r="S46" i="21"/>
  <c r="S51" i="21" s="1"/>
  <c r="S62" i="21" s="1"/>
  <c r="V46" i="21"/>
  <c r="V51" i="21" s="1"/>
  <c r="V62" i="21" s="1"/>
  <c r="AM46" i="21"/>
  <c r="AM51" i="21" s="1"/>
  <c r="AM62" i="21" s="1"/>
  <c r="AB46" i="21"/>
  <c r="AB51" i="21" s="1"/>
  <c r="AB62" i="21" s="1"/>
  <c r="X46" i="21"/>
  <c r="X51" i="21" s="1"/>
  <c r="X62" i="21" s="1"/>
  <c r="AE46" i="21"/>
  <c r="AE51" i="21" s="1"/>
  <c r="AE62" i="21" s="1"/>
  <c r="AK46" i="21"/>
  <c r="AK51" i="21" s="1"/>
  <c r="AK62" i="21" s="1"/>
  <c r="AI46" i="21"/>
  <c r="AI51" i="21" s="1"/>
  <c r="AI62" i="21" s="1"/>
  <c r="W46" i="21"/>
  <c r="W51" i="21" s="1"/>
  <c r="W62" i="21" s="1"/>
  <c r="AP109" i="21"/>
  <c r="AP116" i="21" s="1"/>
  <c r="AP94" i="21"/>
  <c r="AP133" i="21" s="1"/>
  <c r="AP92" i="21"/>
  <c r="AP131" i="21" s="1"/>
  <c r="AP23" i="38" s="1"/>
  <c r="AP93" i="21"/>
  <c r="AP132" i="21" s="1"/>
  <c r="AP24" i="38" s="1"/>
  <c r="AP91" i="21"/>
  <c r="AP130" i="21" s="1"/>
  <c r="AP22" i="38" s="1"/>
  <c r="AP90" i="21"/>
  <c r="AF46" i="21"/>
  <c r="AF51" i="21" s="1"/>
  <c r="AF62" i="21" s="1"/>
  <c r="AC46" i="21"/>
  <c r="AC51" i="21" s="1"/>
  <c r="AC62" i="21" s="1"/>
  <c r="P46" i="21"/>
  <c r="P51" i="21" s="1"/>
  <c r="P62" i="21" s="1"/>
  <c r="L46" i="21"/>
  <c r="L51" i="21" s="1"/>
  <c r="L62" i="21" s="1"/>
  <c r="AJ46" i="21"/>
  <c r="AJ51" i="21" s="1"/>
  <c r="AJ62" i="21" s="1"/>
  <c r="U129" i="21" l="1"/>
  <c r="U21" i="38" s="1"/>
  <c r="AP129" i="21"/>
  <c r="AP21" i="38" s="1"/>
  <c r="AJ69" i="21"/>
  <c r="AJ109" i="21" s="1"/>
  <c r="AJ116" i="21" s="1"/>
  <c r="P69" i="21"/>
  <c r="P109" i="21" s="1"/>
  <c r="P116" i="21" s="1"/>
  <c r="AK69" i="21"/>
  <c r="AK109" i="21" s="1"/>
  <c r="AK116" i="21" s="1"/>
  <c r="AB69" i="21"/>
  <c r="AB109" i="21" s="1"/>
  <c r="AB116" i="21" s="1"/>
  <c r="AD69" i="21"/>
  <c r="AD109" i="21" s="1"/>
  <c r="AD116" i="21" s="1"/>
  <c r="AA69" i="21"/>
  <c r="AO69" i="21"/>
  <c r="AO109" i="21" s="1"/>
  <c r="AO116" i="21" s="1"/>
  <c r="AH69" i="21"/>
  <c r="AH109" i="21" s="1"/>
  <c r="AH116" i="21" s="1"/>
  <c r="N69" i="21"/>
  <c r="N109" i="21" s="1"/>
  <c r="N116" i="21" s="1"/>
  <c r="AP21" i="39"/>
  <c r="AP27" i="39" s="1"/>
  <c r="AP25" i="38"/>
  <c r="X69" i="21"/>
  <c r="X109" i="21" s="1"/>
  <c r="X116" i="21" s="1"/>
  <c r="Q69" i="21"/>
  <c r="Q109" i="21" s="1"/>
  <c r="Q116" i="21" s="1"/>
  <c r="AQ69" i="21"/>
  <c r="AQ109" i="21" s="1"/>
  <c r="AQ116" i="21" s="1"/>
  <c r="AN69" i="21"/>
  <c r="AN109" i="21" s="1"/>
  <c r="AN116" i="21" s="1"/>
  <c r="U21" i="39"/>
  <c r="U27" i="39" s="1"/>
  <c r="U25" i="38"/>
  <c r="L69" i="21"/>
  <c r="L109" i="21" s="1"/>
  <c r="L116" i="21" s="1"/>
  <c r="AC69" i="21"/>
  <c r="AC109" i="21" s="1"/>
  <c r="AC116" i="21" s="1"/>
  <c r="AI69" i="21"/>
  <c r="AI109" i="21" s="1"/>
  <c r="AI116" i="21" s="1"/>
  <c r="AE69" i="21"/>
  <c r="AE109" i="21" s="1"/>
  <c r="AE116" i="21" s="1"/>
  <c r="V69" i="21"/>
  <c r="V109" i="21" s="1"/>
  <c r="V116" i="21" s="1"/>
  <c r="K69" i="21"/>
  <c r="K109" i="21" s="1"/>
  <c r="K116" i="21" s="1"/>
  <c r="Y69" i="21"/>
  <c r="Y109" i="21" s="1"/>
  <c r="Y116" i="21" s="1"/>
  <c r="J25" i="38"/>
  <c r="J21" i="39"/>
  <c r="J27" i="39" s="1"/>
  <c r="O69" i="21"/>
  <c r="O109" i="21" s="1"/>
  <c r="O116" i="21" s="1"/>
  <c r="T69" i="21"/>
  <c r="T109" i="21" s="1"/>
  <c r="T116" i="21" s="1"/>
  <c r="AF69" i="21"/>
  <c r="AF109" i="21" s="1"/>
  <c r="AF116" i="21" s="1"/>
  <c r="W69" i="21"/>
  <c r="W109" i="21" s="1"/>
  <c r="W116" i="21" s="1"/>
  <c r="AM69" i="21"/>
  <c r="AM109" i="21" s="1"/>
  <c r="AM116" i="21" s="1"/>
  <c r="S69" i="21"/>
  <c r="S109" i="21" s="1"/>
  <c r="S116" i="21" s="1"/>
  <c r="M69" i="21"/>
  <c r="M109" i="21" s="1"/>
  <c r="M116" i="21" s="1"/>
  <c r="AL69" i="21"/>
  <c r="Z69" i="21"/>
  <c r="Z109" i="21" s="1"/>
  <c r="Z116" i="21" s="1"/>
  <c r="J129" i="21"/>
  <c r="R69" i="21"/>
  <c r="AG69" i="21"/>
  <c r="AG109" i="21" s="1"/>
  <c r="AG116" i="21" s="1"/>
  <c r="AA91" i="21" l="1"/>
  <c r="AA130" i="21" s="1"/>
  <c r="AA22" i="38" s="1"/>
  <c r="AA90" i="21"/>
  <c r="AA93" i="21"/>
  <c r="AA132" i="21" s="1"/>
  <c r="AA24" i="38" s="1"/>
  <c r="AA94" i="21"/>
  <c r="AA133" i="21" s="1"/>
  <c r="AA92" i="21"/>
  <c r="AA131" i="21" s="1"/>
  <c r="AA23" i="38" s="1"/>
  <c r="J21" i="38"/>
  <c r="Y91" i="21"/>
  <c r="Y130" i="21" s="1"/>
  <c r="Y22" i="38" s="1"/>
  <c r="Y90" i="21"/>
  <c r="Y129" i="21" s="1"/>
  <c r="Y21" i="38" s="1"/>
  <c r="Y93" i="21"/>
  <c r="Y132" i="21" s="1"/>
  <c r="Y24" i="38" s="1"/>
  <c r="Y92" i="21"/>
  <c r="Y131" i="21" s="1"/>
  <c r="Y23" i="38" s="1"/>
  <c r="Y94" i="21"/>
  <c r="Y133" i="21" s="1"/>
  <c r="V91" i="21"/>
  <c r="V130" i="21" s="1"/>
  <c r="V22" i="38" s="1"/>
  <c r="V93" i="21"/>
  <c r="V132" i="21" s="1"/>
  <c r="V24" i="38" s="1"/>
  <c r="V92" i="21"/>
  <c r="V131" i="21" s="1"/>
  <c r="V23" i="38" s="1"/>
  <c r="V90" i="21"/>
  <c r="V129" i="21" s="1"/>
  <c r="V21" i="38" s="1"/>
  <c r="V94" i="21"/>
  <c r="V133" i="21" s="1"/>
  <c r="AI93" i="21"/>
  <c r="AI132" i="21" s="1"/>
  <c r="AI24" i="38" s="1"/>
  <c r="AI91" i="21"/>
  <c r="AI130" i="21" s="1"/>
  <c r="AI22" i="38" s="1"/>
  <c r="AI92" i="21"/>
  <c r="AI131" i="21" s="1"/>
  <c r="AI23" i="38" s="1"/>
  <c r="AI90" i="21"/>
  <c r="AI129" i="21" s="1"/>
  <c r="AI21" i="38" s="1"/>
  <c r="AI94" i="21"/>
  <c r="AI133" i="21" s="1"/>
  <c r="L94" i="21"/>
  <c r="L133" i="21" s="1"/>
  <c r="L93" i="21"/>
  <c r="L132" i="21" s="1"/>
  <c r="L24" i="38" s="1"/>
  <c r="L91" i="21"/>
  <c r="L130" i="21" s="1"/>
  <c r="L22" i="38" s="1"/>
  <c r="L90" i="21"/>
  <c r="L129" i="21" s="1"/>
  <c r="L21" i="38" s="1"/>
  <c r="L92" i="21"/>
  <c r="L131" i="21" s="1"/>
  <c r="L23" i="38" s="1"/>
  <c r="AQ91" i="21"/>
  <c r="AQ130" i="21" s="1"/>
  <c r="AQ22" i="38" s="1"/>
  <c r="AQ90" i="21"/>
  <c r="AQ129" i="21" s="1"/>
  <c r="AQ21" i="38" s="1"/>
  <c r="AQ93" i="21"/>
  <c r="AQ132" i="21" s="1"/>
  <c r="AQ24" i="38" s="1"/>
  <c r="AQ94" i="21"/>
  <c r="AQ133" i="21" s="1"/>
  <c r="AQ92" i="21"/>
  <c r="AQ131" i="21" s="1"/>
  <c r="AQ23" i="38" s="1"/>
  <c r="Q92" i="21"/>
  <c r="Q131" i="21" s="1"/>
  <c r="Q23" i="38" s="1"/>
  <c r="Q93" i="21"/>
  <c r="Q132" i="21" s="1"/>
  <c r="Q24" i="38" s="1"/>
  <c r="Q91" i="21"/>
  <c r="Q130" i="21" s="1"/>
  <c r="Q22" i="38" s="1"/>
  <c r="Q94" i="21"/>
  <c r="Q133" i="21" s="1"/>
  <c r="Q90" i="21"/>
  <c r="Q129" i="21" s="1"/>
  <c r="Q21" i="38" s="1"/>
  <c r="AH91" i="21"/>
  <c r="AH130" i="21" s="1"/>
  <c r="AH22" i="38" s="1"/>
  <c r="AH92" i="21"/>
  <c r="AH131" i="21" s="1"/>
  <c r="AH23" i="38" s="1"/>
  <c r="AH93" i="21"/>
  <c r="AH132" i="21" s="1"/>
  <c r="AH24" i="38" s="1"/>
  <c r="AH90" i="21"/>
  <c r="AH129" i="21" s="1"/>
  <c r="AH21" i="38" s="1"/>
  <c r="AH94" i="21"/>
  <c r="AH133" i="21" s="1"/>
  <c r="R94" i="21"/>
  <c r="R133" i="21" s="1"/>
  <c r="R91" i="21"/>
  <c r="R130" i="21" s="1"/>
  <c r="R22" i="38" s="1"/>
  <c r="R93" i="21"/>
  <c r="R132" i="21" s="1"/>
  <c r="R24" i="38" s="1"/>
  <c r="R90" i="21"/>
  <c r="R92" i="21"/>
  <c r="R131" i="21" s="1"/>
  <c r="R23" i="38" s="1"/>
  <c r="AL90" i="21"/>
  <c r="AL93" i="21"/>
  <c r="AL132" i="21" s="1"/>
  <c r="AL24" i="38" s="1"/>
  <c r="AL94" i="21"/>
  <c r="AL133" i="21" s="1"/>
  <c r="AL92" i="21"/>
  <c r="AL131" i="21" s="1"/>
  <c r="AL23" i="38" s="1"/>
  <c r="AL91" i="21"/>
  <c r="AL130" i="21" s="1"/>
  <c r="AL22" i="38" s="1"/>
  <c r="AG94" i="21"/>
  <c r="AG133" i="21" s="1"/>
  <c r="AG90" i="21"/>
  <c r="AG129" i="21" s="1"/>
  <c r="AG21" i="38" s="1"/>
  <c r="AG91" i="21"/>
  <c r="AG130" i="21" s="1"/>
  <c r="AG22" i="38" s="1"/>
  <c r="AG92" i="21"/>
  <c r="AG131" i="21" s="1"/>
  <c r="AG23" i="38" s="1"/>
  <c r="AG93" i="21"/>
  <c r="AG132" i="21" s="1"/>
  <c r="AG24" i="38" s="1"/>
  <c r="M94" i="21"/>
  <c r="M133" i="21" s="1"/>
  <c r="M91" i="21"/>
  <c r="M130" i="21" s="1"/>
  <c r="M22" i="38" s="1"/>
  <c r="M93" i="21"/>
  <c r="M132" i="21" s="1"/>
  <c r="M24" i="38" s="1"/>
  <c r="M92" i="21"/>
  <c r="M131" i="21" s="1"/>
  <c r="M23" i="38" s="1"/>
  <c r="M90" i="21"/>
  <c r="M129" i="21" s="1"/>
  <c r="M21" i="38" s="1"/>
  <c r="O92" i="21"/>
  <c r="O131" i="21" s="1"/>
  <c r="O23" i="38" s="1"/>
  <c r="O94" i="21"/>
  <c r="O133" i="21" s="1"/>
  <c r="O93" i="21"/>
  <c r="O132" i="21" s="1"/>
  <c r="O24" i="38" s="1"/>
  <c r="O90" i="21"/>
  <c r="O129" i="21" s="1"/>
  <c r="O21" i="38" s="1"/>
  <c r="O91" i="21"/>
  <c r="O130" i="21" s="1"/>
  <c r="O22" i="38" s="1"/>
  <c r="AO90" i="21"/>
  <c r="AO129" i="21" s="1"/>
  <c r="AO21" i="38" s="1"/>
  <c r="AO91" i="21"/>
  <c r="AO130" i="21" s="1"/>
  <c r="AO22" i="38" s="1"/>
  <c r="AO92" i="21"/>
  <c r="AO131" i="21" s="1"/>
  <c r="AO23" i="38" s="1"/>
  <c r="AO93" i="21"/>
  <c r="AO132" i="21" s="1"/>
  <c r="AO24" i="38" s="1"/>
  <c r="AO94" i="21"/>
  <c r="AO133" i="21" s="1"/>
  <c r="AD92" i="21"/>
  <c r="AD131" i="21" s="1"/>
  <c r="AD23" i="38" s="1"/>
  <c r="AD91" i="21"/>
  <c r="AD130" i="21" s="1"/>
  <c r="AD22" i="38" s="1"/>
  <c r="AD94" i="21"/>
  <c r="AD133" i="21" s="1"/>
  <c r="AD90" i="21"/>
  <c r="AD129" i="21" s="1"/>
  <c r="AD21" i="38" s="1"/>
  <c r="AD93" i="21"/>
  <c r="AD132" i="21" s="1"/>
  <c r="AD24" i="38" s="1"/>
  <c r="AK93" i="21"/>
  <c r="AK132" i="21" s="1"/>
  <c r="AK24" i="38" s="1"/>
  <c r="AK90" i="21"/>
  <c r="AK129" i="21" s="1"/>
  <c r="AK21" i="38" s="1"/>
  <c r="AK94" i="21"/>
  <c r="AK133" i="21" s="1"/>
  <c r="AK92" i="21"/>
  <c r="AK131" i="21" s="1"/>
  <c r="AK23" i="38" s="1"/>
  <c r="AK91" i="21"/>
  <c r="AK130" i="21" s="1"/>
  <c r="AK22" i="38" s="1"/>
  <c r="P94" i="21"/>
  <c r="P133" i="21" s="1"/>
  <c r="P92" i="21"/>
  <c r="P131" i="21" s="1"/>
  <c r="P23" i="38" s="1"/>
  <c r="P90" i="21"/>
  <c r="P129" i="21" s="1"/>
  <c r="P21" i="38" s="1"/>
  <c r="P91" i="21"/>
  <c r="P130" i="21" s="1"/>
  <c r="P22" i="38" s="1"/>
  <c r="P93" i="21"/>
  <c r="P132" i="21" s="1"/>
  <c r="P24" i="38" s="1"/>
  <c r="Z91" i="21"/>
  <c r="Z130" i="21" s="1"/>
  <c r="Z22" i="38" s="1"/>
  <c r="Z90" i="21"/>
  <c r="Z129" i="21" s="1"/>
  <c r="Z21" i="38" s="1"/>
  <c r="Z92" i="21"/>
  <c r="Z131" i="21" s="1"/>
  <c r="Z23" i="38" s="1"/>
  <c r="Z94" i="21"/>
  <c r="Z133" i="21" s="1"/>
  <c r="Z93" i="21"/>
  <c r="Z132" i="21" s="1"/>
  <c r="Z24" i="38" s="1"/>
  <c r="AM93" i="21"/>
  <c r="AM132" i="21" s="1"/>
  <c r="AM24" i="38" s="1"/>
  <c r="AM91" i="21"/>
  <c r="AM130" i="21" s="1"/>
  <c r="AM22" i="38" s="1"/>
  <c r="AM94" i="21"/>
  <c r="AM133" i="21" s="1"/>
  <c r="AM90" i="21"/>
  <c r="AM129" i="21" s="1"/>
  <c r="AM21" i="38" s="1"/>
  <c r="AM92" i="21"/>
  <c r="AM131" i="21" s="1"/>
  <c r="AM23" i="38" s="1"/>
  <c r="R109" i="21"/>
  <c r="R116" i="21" s="1"/>
  <c r="AL109" i="21"/>
  <c r="AL116" i="21" s="1"/>
  <c r="K94" i="21"/>
  <c r="K133" i="21" s="1"/>
  <c r="K92" i="21"/>
  <c r="K131" i="21" s="1"/>
  <c r="K23" i="38" s="1"/>
  <c r="K93" i="21"/>
  <c r="K132" i="21" s="1"/>
  <c r="K24" i="38" s="1"/>
  <c r="K91" i="21"/>
  <c r="K130" i="21" s="1"/>
  <c r="K22" i="38" s="1"/>
  <c r="K90" i="21"/>
  <c r="K129" i="21" s="1"/>
  <c r="K21" i="38" s="1"/>
  <c r="AE90" i="21"/>
  <c r="AE129" i="21" s="1"/>
  <c r="AE21" i="38" s="1"/>
  <c r="AE94" i="21"/>
  <c r="AE133" i="21" s="1"/>
  <c r="AE92" i="21"/>
  <c r="AE131" i="21" s="1"/>
  <c r="AE23" i="38" s="1"/>
  <c r="AE93" i="21"/>
  <c r="AE132" i="21" s="1"/>
  <c r="AE24" i="38" s="1"/>
  <c r="AE91" i="21"/>
  <c r="AE130" i="21" s="1"/>
  <c r="AE22" i="38" s="1"/>
  <c r="AC90" i="21"/>
  <c r="AC129" i="21" s="1"/>
  <c r="AC21" i="38" s="1"/>
  <c r="AC91" i="21"/>
  <c r="AC130" i="21" s="1"/>
  <c r="AC22" i="38" s="1"/>
  <c r="AC94" i="21"/>
  <c r="AC133" i="21" s="1"/>
  <c r="AC93" i="21"/>
  <c r="AC132" i="21" s="1"/>
  <c r="AC24" i="38" s="1"/>
  <c r="AC92" i="21"/>
  <c r="AC131" i="21" s="1"/>
  <c r="AC23" i="38" s="1"/>
  <c r="AN91" i="21"/>
  <c r="AN130" i="21" s="1"/>
  <c r="AN22" i="38" s="1"/>
  <c r="AN90" i="21"/>
  <c r="AN129" i="21" s="1"/>
  <c r="AN21" i="38" s="1"/>
  <c r="AN92" i="21"/>
  <c r="AN131" i="21" s="1"/>
  <c r="AN23" i="38" s="1"/>
  <c r="AN93" i="21"/>
  <c r="AN132" i="21" s="1"/>
  <c r="AN24" i="38" s="1"/>
  <c r="AN94" i="21"/>
  <c r="AN133" i="21" s="1"/>
  <c r="X91" i="21"/>
  <c r="X130" i="21" s="1"/>
  <c r="X22" i="38" s="1"/>
  <c r="X94" i="21"/>
  <c r="X133" i="21" s="1"/>
  <c r="X90" i="21"/>
  <c r="X129" i="21" s="1"/>
  <c r="X21" i="38" s="1"/>
  <c r="X93" i="21"/>
  <c r="X132" i="21" s="1"/>
  <c r="X24" i="38" s="1"/>
  <c r="X92" i="21"/>
  <c r="X131" i="21" s="1"/>
  <c r="X23" i="38" s="1"/>
  <c r="N93" i="21"/>
  <c r="N132" i="21" s="1"/>
  <c r="N24" i="38" s="1"/>
  <c r="N91" i="21"/>
  <c r="N130" i="21" s="1"/>
  <c r="N22" i="38" s="1"/>
  <c r="N92" i="21"/>
  <c r="N131" i="21" s="1"/>
  <c r="N23" i="38" s="1"/>
  <c r="N94" i="21"/>
  <c r="N133" i="21" s="1"/>
  <c r="N90" i="21"/>
  <c r="N129" i="21" s="1"/>
  <c r="N21" i="38" s="1"/>
  <c r="AA109" i="21"/>
  <c r="AA116" i="21" s="1"/>
  <c r="S92" i="21"/>
  <c r="S131" i="21" s="1"/>
  <c r="S23" i="38" s="1"/>
  <c r="S94" i="21"/>
  <c r="S133" i="21" s="1"/>
  <c r="S90" i="21"/>
  <c r="S129" i="21" s="1"/>
  <c r="S21" i="38" s="1"/>
  <c r="S91" i="21"/>
  <c r="S130" i="21" s="1"/>
  <c r="S22" i="38" s="1"/>
  <c r="S93" i="21"/>
  <c r="S132" i="21" s="1"/>
  <c r="S24" i="38" s="1"/>
  <c r="W93" i="21"/>
  <c r="W132" i="21" s="1"/>
  <c r="W24" i="38" s="1"/>
  <c r="W91" i="21"/>
  <c r="W130" i="21" s="1"/>
  <c r="W22" i="38" s="1"/>
  <c r="W90" i="21"/>
  <c r="W129" i="21" s="1"/>
  <c r="W21" i="38" s="1"/>
  <c r="W92" i="21"/>
  <c r="W131" i="21" s="1"/>
  <c r="W23" i="38" s="1"/>
  <c r="W94" i="21"/>
  <c r="W133" i="21" s="1"/>
  <c r="AF94" i="21"/>
  <c r="AF133" i="21" s="1"/>
  <c r="AF92" i="21"/>
  <c r="AF131" i="21" s="1"/>
  <c r="AF23" i="38" s="1"/>
  <c r="AF91" i="21"/>
  <c r="AF130" i="21" s="1"/>
  <c r="AF22" i="38" s="1"/>
  <c r="AF93" i="21"/>
  <c r="AF132" i="21" s="1"/>
  <c r="AF24" i="38" s="1"/>
  <c r="AF90" i="21"/>
  <c r="AF129" i="21" s="1"/>
  <c r="AF21" i="38" s="1"/>
  <c r="T94" i="21"/>
  <c r="T133" i="21" s="1"/>
  <c r="T90" i="21"/>
  <c r="T129" i="21" s="1"/>
  <c r="T21" i="38" s="1"/>
  <c r="T92" i="21"/>
  <c r="T131" i="21" s="1"/>
  <c r="T23" i="38" s="1"/>
  <c r="T93" i="21"/>
  <c r="T132" i="21" s="1"/>
  <c r="T24" i="38" s="1"/>
  <c r="T91" i="21"/>
  <c r="T130" i="21" s="1"/>
  <c r="T22" i="38" s="1"/>
  <c r="AB92" i="21"/>
  <c r="AB131" i="21" s="1"/>
  <c r="AB23" i="38" s="1"/>
  <c r="AB91" i="21"/>
  <c r="AB130" i="21" s="1"/>
  <c r="AB22" i="38" s="1"/>
  <c r="AB93" i="21"/>
  <c r="AB132" i="21" s="1"/>
  <c r="AB24" i="38" s="1"/>
  <c r="AB94" i="21"/>
  <c r="AB133" i="21" s="1"/>
  <c r="AB90" i="21"/>
  <c r="AB129" i="21" s="1"/>
  <c r="AB21" i="38" s="1"/>
  <c r="AJ92" i="21"/>
  <c r="AJ131" i="21" s="1"/>
  <c r="AJ23" i="38" s="1"/>
  <c r="AJ94" i="21"/>
  <c r="AJ133" i="21" s="1"/>
  <c r="AJ93" i="21"/>
  <c r="AJ132" i="21" s="1"/>
  <c r="AJ24" i="38" s="1"/>
  <c r="AJ90" i="21"/>
  <c r="AJ129" i="21" s="1"/>
  <c r="AJ21" i="38" s="1"/>
  <c r="AJ91" i="21"/>
  <c r="AJ130" i="21" s="1"/>
  <c r="AJ22" i="38" s="1"/>
  <c r="Z21" i="39" l="1"/>
  <c r="Z27" i="39" s="1"/>
  <c r="Z25" i="38"/>
  <c r="AK25" i="38"/>
  <c r="AK21" i="39"/>
  <c r="AK27" i="39" s="1"/>
  <c r="M21" i="39"/>
  <c r="M27" i="39" s="1"/>
  <c r="M25" i="38"/>
  <c r="AI21" i="39"/>
  <c r="AI27" i="39" s="1"/>
  <c r="AI25" i="38"/>
  <c r="Y25" i="38"/>
  <c r="Y21" i="39"/>
  <c r="Y27" i="39" s="1"/>
  <c r="AN25" i="38"/>
  <c r="AN21" i="39"/>
  <c r="AN27" i="39" s="1"/>
  <c r="H45" i="38"/>
  <c r="AQ21" i="39"/>
  <c r="AQ27" i="39" s="1"/>
  <c r="AQ25" i="38"/>
  <c r="X21" i="39"/>
  <c r="X27" i="39" s="1"/>
  <c r="X25" i="38"/>
  <c r="AM21" i="39"/>
  <c r="AM27" i="39" s="1"/>
  <c r="AM25" i="38"/>
  <c r="AF25" i="38"/>
  <c r="AF21" i="39"/>
  <c r="AF27" i="39" s="1"/>
  <c r="N25" i="38"/>
  <c r="N21" i="39"/>
  <c r="N27" i="39" s="1"/>
  <c r="H44" i="38"/>
  <c r="K25" i="38"/>
  <c r="K21" i="39"/>
  <c r="K27" i="39" s="1"/>
  <c r="AD25" i="38"/>
  <c r="AD21" i="39"/>
  <c r="AD27" i="39" s="1"/>
  <c r="R129" i="21"/>
  <c r="R21" i="38" s="1"/>
  <c r="L21" i="39"/>
  <c r="L27" i="39" s="1"/>
  <c r="L25" i="38"/>
  <c r="AA129" i="21"/>
  <c r="AA21" i="38" s="1"/>
  <c r="W25" i="38"/>
  <c r="W21" i="39"/>
  <c r="W27" i="39" s="1"/>
  <c r="AJ25" i="38"/>
  <c r="AJ21" i="39"/>
  <c r="AJ27" i="39" s="1"/>
  <c r="AB21" i="39"/>
  <c r="AB27" i="39" s="1"/>
  <c r="AB25" i="38"/>
  <c r="T21" i="39"/>
  <c r="T27" i="39" s="1"/>
  <c r="T25" i="38"/>
  <c r="S25" i="38"/>
  <c r="S21" i="39"/>
  <c r="S27" i="39" s="1"/>
  <c r="AC25" i="38"/>
  <c r="AC21" i="39"/>
  <c r="AC27" i="39" s="1"/>
  <c r="AE21" i="39"/>
  <c r="AE27" i="39" s="1"/>
  <c r="AE25" i="38"/>
  <c r="H46" i="38"/>
  <c r="P21" i="39"/>
  <c r="P27" i="39" s="1"/>
  <c r="P25" i="38"/>
  <c r="AO21" i="39"/>
  <c r="AO27" i="39" s="1"/>
  <c r="AO25" i="38"/>
  <c r="O21" i="39"/>
  <c r="O27" i="39" s="1"/>
  <c r="O25" i="38"/>
  <c r="AG21" i="39"/>
  <c r="AG27" i="39" s="1"/>
  <c r="AG25" i="38"/>
  <c r="AL25" i="38"/>
  <c r="AL21" i="39"/>
  <c r="AL27" i="39" s="1"/>
  <c r="AL129" i="21"/>
  <c r="AL21" i="38" s="1"/>
  <c r="R21" i="39"/>
  <c r="R27" i="39" s="1"/>
  <c r="R25" i="38"/>
  <c r="AH25" i="38"/>
  <c r="AH21" i="39"/>
  <c r="AH27" i="39" s="1"/>
  <c r="Q21" i="39"/>
  <c r="Q27" i="39" s="1"/>
  <c r="Q25" i="38"/>
  <c r="V21" i="39"/>
  <c r="V27" i="39" s="1"/>
  <c r="V25" i="38"/>
  <c r="AA25" i="38"/>
  <c r="AA21" i="39"/>
  <c r="AA27" i="39" s="1"/>
  <c r="H43" i="38" l="1"/>
  <c r="H43" i="39"/>
  <c r="H49" i="39" s="1"/>
  <c r="H56" i="39" s="1"/>
  <c r="H70" i="36" s="1"/>
  <c r="H35" i="39"/>
  <c r="H47" i="38"/>
  <c r="H49" i="38" l="1"/>
  <c r="H50" i="38" l="1"/>
  <c r="H70" i="38" s="1"/>
  <c r="L33" i="22" s="1"/>
  <c r="H69" i="38" l="1"/>
  <c r="K33" i="22" s="1"/>
  <c r="K37" i="22" s="1"/>
  <c r="K69" i="22" s="1"/>
  <c r="H71" i="38"/>
  <c r="M33" i="22" s="1"/>
  <c r="M77" i="22" s="1"/>
  <c r="H72" i="38"/>
  <c r="N33" i="22" s="1"/>
  <c r="N77" i="22" s="1"/>
  <c r="H68" i="38"/>
  <c r="J33" i="22" s="1"/>
  <c r="L77" i="22"/>
  <c r="L37" i="22"/>
  <c r="L69" i="22" s="1"/>
  <c r="K77" i="22" l="1"/>
  <c r="K83" i="22" s="1"/>
  <c r="K129" i="22" s="1"/>
  <c r="M37" i="22"/>
  <c r="M69" i="22" s="1"/>
  <c r="M83" i="22" s="1"/>
  <c r="M129" i="22" s="1"/>
  <c r="N37" i="22"/>
  <c r="N69" i="22" s="1"/>
  <c r="N83" i="22" s="1"/>
  <c r="N129" i="22" s="1"/>
  <c r="H74" i="38"/>
  <c r="J77" i="22"/>
  <c r="J37" i="22"/>
  <c r="L83" i="22"/>
  <c r="L129" i="22" s="1"/>
  <c r="H39" i="22" l="1"/>
  <c r="J69" i="22"/>
  <c r="J83" i="22" s="1"/>
  <c r="J129" i="22" s="1"/>
  <c r="H133" i="22" l="1"/>
  <c r="J145" i="22"/>
  <c r="K145" i="22" l="1"/>
  <c r="H169" i="22" s="1"/>
  <c r="H184" i="22" s="1"/>
  <c r="H25" i="36" s="1"/>
  <c r="H139" i="22"/>
  <c r="H149" i="22" s="1"/>
  <c r="M145" i="22"/>
  <c r="H171" i="22" s="1"/>
  <c r="H182" i="22" s="1"/>
  <c r="H23" i="36" s="1"/>
  <c r="N145" i="22"/>
  <c r="L145" i="22"/>
  <c r="H170" i="22" s="1"/>
  <c r="H183" i="22" s="1"/>
  <c r="H24" i="36" s="1"/>
  <c r="J60" i="36" l="1"/>
  <c r="K60" i="36"/>
  <c r="M60" i="36"/>
  <c r="L60" i="36"/>
  <c r="H158" i="22"/>
  <c r="H83" i="36" s="1"/>
  <c r="H153" i="22"/>
  <c r="H173" i="22"/>
  <c r="H180" i="22" s="1"/>
  <c r="H21" i="36" s="1"/>
  <c r="H174" i="22"/>
  <c r="H179" i="22" s="1"/>
  <c r="H20" i="36" s="1"/>
  <c r="H172" i="22"/>
  <c r="H181" i="22" s="1"/>
  <c r="H22" i="36" s="1"/>
  <c r="H175" i="22"/>
  <c r="H178" i="22" s="1"/>
  <c r="H19" i="36" s="1"/>
  <c r="H74" i="36" l="1"/>
  <c r="L46" i="36"/>
  <c r="L47" i="36" s="1"/>
  <c r="K46" i="36"/>
  <c r="K47" i="36" s="1"/>
  <c r="H85" i="36"/>
  <c r="M46" i="36"/>
  <c r="M47" i="36" s="1"/>
  <c r="M56" i="36"/>
  <c r="J56" i="36"/>
  <c r="J46" i="36"/>
  <c r="J47" i="36" s="1"/>
  <c r="K56" i="36"/>
  <c r="L56" i="36"/>
  <c r="K57" i="36"/>
  <c r="M57" i="36"/>
  <c r="L57" i="36"/>
  <c r="J57" i="36"/>
  <c r="H76" i="36"/>
  <c r="L58" i="36"/>
  <c r="J58" i="36"/>
  <c r="K58" i="36"/>
  <c r="M58" i="36"/>
  <c r="L59" i="36"/>
  <c r="J59" i="36"/>
  <c r="M59" i="36"/>
  <c r="K59" i="36"/>
  <c r="K94" i="36" l="1"/>
  <c r="K105" i="36" s="1"/>
  <c r="H32" i="23" s="1"/>
  <c r="K96" i="36"/>
  <c r="K107" i="36" s="1"/>
  <c r="H44" i="23" s="1"/>
  <c r="K95" i="36"/>
  <c r="K106" i="36" s="1"/>
  <c r="H38" i="23" s="1"/>
  <c r="K98" i="36"/>
  <c r="K109" i="36" s="1"/>
  <c r="H56" i="23" s="1"/>
  <c r="K97" i="36"/>
  <c r="K108" i="36" s="1"/>
  <c r="H50" i="23" s="1"/>
  <c r="J94" i="36"/>
  <c r="J105" i="36" s="1"/>
  <c r="H31" i="23" s="1"/>
  <c r="J96" i="36"/>
  <c r="J107" i="36" s="1"/>
  <c r="H43" i="23" s="1"/>
  <c r="J98" i="36"/>
  <c r="J109" i="36" s="1"/>
  <c r="H55" i="23" s="1"/>
  <c r="J97" i="36"/>
  <c r="J108" i="36" s="1"/>
  <c r="H49" i="23" s="1"/>
  <c r="J95" i="36"/>
  <c r="J106" i="36" s="1"/>
  <c r="H37" i="23" s="1"/>
  <c r="H48" i="36"/>
  <c r="H113" i="36" s="1"/>
  <c r="L95" i="36"/>
  <c r="L106" i="36" s="1"/>
  <c r="H39" i="23" s="1"/>
  <c r="L97" i="36"/>
  <c r="L108" i="36" s="1"/>
  <c r="H51" i="23" s="1"/>
  <c r="L98" i="36"/>
  <c r="L109" i="36" s="1"/>
  <c r="H57" i="23" s="1"/>
  <c r="L96" i="36"/>
  <c r="L107" i="36" s="1"/>
  <c r="H45" i="23" s="1"/>
  <c r="L94" i="36"/>
  <c r="L105" i="36" s="1"/>
  <c r="H33" i="23" s="1"/>
  <c r="M98" i="36"/>
  <c r="M109" i="36" s="1"/>
  <c r="H58" i="23" s="1"/>
  <c r="M96" i="36"/>
  <c r="M107" i="36" s="1"/>
  <c r="H46" i="23" s="1"/>
  <c r="M94" i="36"/>
  <c r="M105" i="36" s="1"/>
  <c r="H34" i="23" s="1"/>
  <c r="M95" i="36"/>
  <c r="M106" i="36" s="1"/>
  <c r="H40" i="23" s="1"/>
  <c r="M97" i="36"/>
  <c r="M108" i="36" s="1"/>
  <c r="H52" i="23" s="1"/>
  <c r="H40" i="33" l="1"/>
  <c r="A4" i="36"/>
  <c r="H108" i="15" l="1"/>
  <c r="H109" i="15"/>
  <c r="H112" i="15"/>
  <c r="H110" i="15"/>
  <c r="H111" i="15"/>
  <c r="H114" i="15" l="1"/>
  <c r="H116" i="15" l="1"/>
  <c r="H118" i="15" s="1"/>
  <c r="H120" i="15" s="1"/>
  <c r="H49" i="20" l="1"/>
  <c r="H124" i="15"/>
  <c r="H131" i="15" s="1"/>
  <c r="H133" i="15" s="1"/>
  <c r="H134" i="15" s="1"/>
  <c r="H139" i="15" l="1"/>
  <c r="H83" i="21" s="1"/>
  <c r="H141" i="15"/>
  <c r="H85" i="21" s="1"/>
  <c r="H138" i="15"/>
  <c r="H82" i="21" s="1"/>
  <c r="H137" i="15"/>
  <c r="H140" i="15"/>
  <c r="H84" i="21" s="1"/>
  <c r="N56" i="20"/>
  <c r="N55" i="20"/>
  <c r="N58" i="20" s="1"/>
  <c r="H59" i="20" s="1"/>
  <c r="H60" i="20" s="1"/>
  <c r="AK100" i="21" l="1"/>
  <c r="AK139" i="21" s="1"/>
  <c r="AA100" i="21"/>
  <c r="AA139" i="21" s="1"/>
  <c r="Z100" i="21"/>
  <c r="Z139" i="21" s="1"/>
  <c r="V100" i="21"/>
  <c r="V139" i="21" s="1"/>
  <c r="AB100" i="21"/>
  <c r="AB139" i="21" s="1"/>
  <c r="AG100" i="21"/>
  <c r="AG139" i="21" s="1"/>
  <c r="M100" i="21"/>
  <c r="M139" i="21" s="1"/>
  <c r="P100" i="21"/>
  <c r="P139" i="21" s="1"/>
  <c r="AQ100" i="21"/>
  <c r="AQ139" i="21" s="1"/>
  <c r="AI100" i="21"/>
  <c r="AI139" i="21" s="1"/>
  <c r="AO100" i="21"/>
  <c r="AO139" i="21" s="1"/>
  <c r="AJ100" i="21"/>
  <c r="AJ139" i="21" s="1"/>
  <c r="Y100" i="21"/>
  <c r="Y139" i="21" s="1"/>
  <c r="AF100" i="21"/>
  <c r="AF139" i="21" s="1"/>
  <c r="AL100" i="21"/>
  <c r="AL139" i="21" s="1"/>
  <c r="L100" i="21"/>
  <c r="L139" i="21" s="1"/>
  <c r="AH100" i="21"/>
  <c r="AH139" i="21" s="1"/>
  <c r="R100" i="21"/>
  <c r="R139" i="21" s="1"/>
  <c r="AM100" i="21"/>
  <c r="AM139" i="21" s="1"/>
  <c r="K100" i="21"/>
  <c r="K139" i="21" s="1"/>
  <c r="X100" i="21"/>
  <c r="X139" i="21" s="1"/>
  <c r="AD100" i="21"/>
  <c r="AD139" i="21" s="1"/>
  <c r="AP100" i="21"/>
  <c r="AP139" i="21" s="1"/>
  <c r="U100" i="21"/>
  <c r="U139" i="21" s="1"/>
  <c r="J100" i="21"/>
  <c r="J139" i="21" s="1"/>
  <c r="S100" i="21"/>
  <c r="S139" i="21" s="1"/>
  <c r="N100" i="21"/>
  <c r="N139" i="21" s="1"/>
  <c r="T100" i="21"/>
  <c r="T139" i="21" s="1"/>
  <c r="AN100" i="21"/>
  <c r="AN139" i="21" s="1"/>
  <c r="O100" i="21"/>
  <c r="O139" i="21" s="1"/>
  <c r="Q100" i="21"/>
  <c r="Q139" i="21" s="1"/>
  <c r="AC100" i="21"/>
  <c r="AC139" i="21" s="1"/>
  <c r="AE100" i="21"/>
  <c r="AE139" i="21" s="1"/>
  <c r="W100" i="21"/>
  <c r="W139" i="21" s="1"/>
  <c r="K62" i="20"/>
  <c r="K45" i="22" s="1"/>
  <c r="M62" i="20"/>
  <c r="M45" i="22" s="1"/>
  <c r="L62" i="20"/>
  <c r="L45" i="22" s="1"/>
  <c r="J62" i="20"/>
  <c r="N62" i="20"/>
  <c r="N45" i="22" s="1"/>
  <c r="H81" i="21"/>
  <c r="H143" i="15"/>
  <c r="H147" i="15" s="1"/>
  <c r="O98" i="21"/>
  <c r="O137" i="21" s="1"/>
  <c r="U98" i="21"/>
  <c r="U137" i="21" s="1"/>
  <c r="X98" i="21"/>
  <c r="X137" i="21" s="1"/>
  <c r="AM98" i="21"/>
  <c r="AM137" i="21" s="1"/>
  <c r="R98" i="21"/>
  <c r="R137" i="21" s="1"/>
  <c r="Q98" i="21"/>
  <c r="Q137" i="21" s="1"/>
  <c r="N98" i="21"/>
  <c r="N137" i="21" s="1"/>
  <c r="AK98" i="21"/>
  <c r="AK137" i="21" s="1"/>
  <c r="AI98" i="21"/>
  <c r="AI137" i="21" s="1"/>
  <c r="AO98" i="21"/>
  <c r="AO137" i="21" s="1"/>
  <c r="AL98" i="21"/>
  <c r="AL137" i="21" s="1"/>
  <c r="AC98" i="21"/>
  <c r="AC137" i="21" s="1"/>
  <c r="P98" i="21"/>
  <c r="P137" i="21" s="1"/>
  <c r="AF98" i="21"/>
  <c r="AF137" i="21" s="1"/>
  <c r="M98" i="21"/>
  <c r="M137" i="21" s="1"/>
  <c r="Z98" i="21"/>
  <c r="Z137" i="21" s="1"/>
  <c r="K98" i="21"/>
  <c r="K137" i="21" s="1"/>
  <c r="AP98" i="21"/>
  <c r="AP137" i="21" s="1"/>
  <c r="AA98" i="21"/>
  <c r="AA137" i="21" s="1"/>
  <c r="AQ98" i="21"/>
  <c r="AQ137" i="21" s="1"/>
  <c r="V98" i="21"/>
  <c r="V137" i="21" s="1"/>
  <c r="T98" i="21"/>
  <c r="T137" i="21" s="1"/>
  <c r="AB98" i="21"/>
  <c r="AB137" i="21" s="1"/>
  <c r="J98" i="21"/>
  <c r="J137" i="21" s="1"/>
  <c r="Y98" i="21"/>
  <c r="Y137" i="21" s="1"/>
  <c r="W98" i="21"/>
  <c r="W137" i="21" s="1"/>
  <c r="AE98" i="21"/>
  <c r="AE137" i="21" s="1"/>
  <c r="L98" i="21"/>
  <c r="L137" i="21" s="1"/>
  <c r="AG98" i="21"/>
  <c r="AG137" i="21" s="1"/>
  <c r="AJ98" i="21"/>
  <c r="AJ137" i="21" s="1"/>
  <c r="AD98" i="21"/>
  <c r="AD137" i="21" s="1"/>
  <c r="AH98" i="21"/>
  <c r="AH137" i="21" s="1"/>
  <c r="AN98" i="21"/>
  <c r="AN137" i="21" s="1"/>
  <c r="S98" i="21"/>
  <c r="S137" i="21" s="1"/>
  <c r="S101" i="21"/>
  <c r="S140" i="21" s="1"/>
  <c r="S32" i="38" s="1"/>
  <c r="AF101" i="21"/>
  <c r="AF140" i="21" s="1"/>
  <c r="AF32" i="38" s="1"/>
  <c r="AD101" i="21"/>
  <c r="AD140" i="21" s="1"/>
  <c r="AD32" i="38" s="1"/>
  <c r="AM101" i="21"/>
  <c r="AM140" i="21" s="1"/>
  <c r="AM32" i="38" s="1"/>
  <c r="T101" i="21"/>
  <c r="T140" i="21" s="1"/>
  <c r="T32" i="38" s="1"/>
  <c r="W101" i="21"/>
  <c r="W140" i="21" s="1"/>
  <c r="W32" i="38" s="1"/>
  <c r="U101" i="21"/>
  <c r="U140" i="21" s="1"/>
  <c r="U32" i="38" s="1"/>
  <c r="AK101" i="21"/>
  <c r="AK140" i="21" s="1"/>
  <c r="AK32" i="38" s="1"/>
  <c r="L101" i="21"/>
  <c r="L140" i="21" s="1"/>
  <c r="L32" i="38" s="1"/>
  <c r="N101" i="21"/>
  <c r="N140" i="21" s="1"/>
  <c r="N32" i="38" s="1"/>
  <c r="Z101" i="21"/>
  <c r="Z140" i="21" s="1"/>
  <c r="Z32" i="38" s="1"/>
  <c r="AC101" i="21"/>
  <c r="AC140" i="21" s="1"/>
  <c r="AC32" i="38" s="1"/>
  <c r="AN101" i="21"/>
  <c r="AN140" i="21" s="1"/>
  <c r="AN32" i="38" s="1"/>
  <c r="J101" i="21"/>
  <c r="J140" i="21" s="1"/>
  <c r="J32" i="38" s="1"/>
  <c r="AO101" i="21"/>
  <c r="AO140" i="21" s="1"/>
  <c r="AO32" i="38" s="1"/>
  <c r="R101" i="21"/>
  <c r="R140" i="21" s="1"/>
  <c r="R32" i="38" s="1"/>
  <c r="AG101" i="21"/>
  <c r="AG140" i="21" s="1"/>
  <c r="AG32" i="38" s="1"/>
  <c r="AL101" i="21"/>
  <c r="AL140" i="21" s="1"/>
  <c r="AL32" i="38" s="1"/>
  <c r="AB101" i="21"/>
  <c r="AB140" i="21" s="1"/>
  <c r="AB32" i="38" s="1"/>
  <c r="X101" i="21"/>
  <c r="X140" i="21" s="1"/>
  <c r="X32" i="38" s="1"/>
  <c r="O101" i="21"/>
  <c r="O140" i="21" s="1"/>
  <c r="O32" i="38" s="1"/>
  <c r="V101" i="21"/>
  <c r="V140" i="21" s="1"/>
  <c r="V32" i="38" s="1"/>
  <c r="K101" i="21"/>
  <c r="K140" i="21" s="1"/>
  <c r="K32" i="38" s="1"/>
  <c r="P101" i="21"/>
  <c r="P140" i="21" s="1"/>
  <c r="P32" i="38" s="1"/>
  <c r="AH101" i="21"/>
  <c r="AH140" i="21" s="1"/>
  <c r="AH32" i="38" s="1"/>
  <c r="Q101" i="21"/>
  <c r="Q140" i="21" s="1"/>
  <c r="Q32" i="38" s="1"/>
  <c r="AE101" i="21"/>
  <c r="AE140" i="21" s="1"/>
  <c r="AE32" i="38" s="1"/>
  <c r="M101" i="21"/>
  <c r="M140" i="21" s="1"/>
  <c r="M32" i="38" s="1"/>
  <c r="AA101" i="21"/>
  <c r="AA140" i="21" s="1"/>
  <c r="AA32" i="38" s="1"/>
  <c r="AQ101" i="21"/>
  <c r="AQ140" i="21" s="1"/>
  <c r="AQ32" i="38" s="1"/>
  <c r="AP101" i="21"/>
  <c r="AP140" i="21" s="1"/>
  <c r="AP32" i="38" s="1"/>
  <c r="AI101" i="21"/>
  <c r="AI140" i="21" s="1"/>
  <c r="AI32" i="38" s="1"/>
  <c r="Y101" i="21"/>
  <c r="Y140" i="21" s="1"/>
  <c r="Y32" i="38" s="1"/>
  <c r="AJ101" i="21"/>
  <c r="AJ140" i="21" s="1"/>
  <c r="AJ32" i="38" s="1"/>
  <c r="AH99" i="21"/>
  <c r="AH138" i="21" s="1"/>
  <c r="AH30" i="38" s="1"/>
  <c r="AO99" i="21"/>
  <c r="AO138" i="21" s="1"/>
  <c r="AO30" i="38" s="1"/>
  <c r="O99" i="21"/>
  <c r="O138" i="21" s="1"/>
  <c r="O30" i="38" s="1"/>
  <c r="AK99" i="21"/>
  <c r="AK138" i="21" s="1"/>
  <c r="AK30" i="38" s="1"/>
  <c r="J99" i="21"/>
  <c r="J138" i="21" s="1"/>
  <c r="J30" i="38" s="1"/>
  <c r="AI99" i="21"/>
  <c r="AI138" i="21" s="1"/>
  <c r="AI30" i="38" s="1"/>
  <c r="AN99" i="21"/>
  <c r="AN138" i="21" s="1"/>
  <c r="AN30" i="38" s="1"/>
  <c r="K99" i="21"/>
  <c r="K138" i="21" s="1"/>
  <c r="K30" i="38" s="1"/>
  <c r="L99" i="21"/>
  <c r="L138" i="21" s="1"/>
  <c r="L30" i="38" s="1"/>
  <c r="W99" i="21"/>
  <c r="W138" i="21" s="1"/>
  <c r="W30" i="38" s="1"/>
  <c r="AG99" i="21"/>
  <c r="AG138" i="21" s="1"/>
  <c r="AG30" i="38" s="1"/>
  <c r="P99" i="21"/>
  <c r="P138" i="21" s="1"/>
  <c r="P30" i="38" s="1"/>
  <c r="Q99" i="21"/>
  <c r="Q138" i="21" s="1"/>
  <c r="Q30" i="38" s="1"/>
  <c r="AF99" i="21"/>
  <c r="AF138" i="21" s="1"/>
  <c r="AF30" i="38" s="1"/>
  <c r="AA99" i="21"/>
  <c r="AA138" i="21" s="1"/>
  <c r="AA30" i="38" s="1"/>
  <c r="AE99" i="21"/>
  <c r="AE138" i="21" s="1"/>
  <c r="AE30" i="38" s="1"/>
  <c r="AD99" i="21"/>
  <c r="AD138" i="21" s="1"/>
  <c r="AD30" i="38" s="1"/>
  <c r="S99" i="21"/>
  <c r="S138" i="21" s="1"/>
  <c r="S30" i="38" s="1"/>
  <c r="R99" i="21"/>
  <c r="R138" i="21" s="1"/>
  <c r="R30" i="38" s="1"/>
  <c r="N99" i="21"/>
  <c r="N138" i="21" s="1"/>
  <c r="N30" i="38" s="1"/>
  <c r="AP99" i="21"/>
  <c r="AP138" i="21" s="1"/>
  <c r="AP30" i="38" s="1"/>
  <c r="AC99" i="21"/>
  <c r="AC138" i="21" s="1"/>
  <c r="AC30" i="38" s="1"/>
  <c r="U99" i="21"/>
  <c r="U138" i="21" s="1"/>
  <c r="U30" i="38" s="1"/>
  <c r="Z99" i="21"/>
  <c r="Z138" i="21" s="1"/>
  <c r="Z30" i="38" s="1"/>
  <c r="M99" i="21"/>
  <c r="M138" i="21" s="1"/>
  <c r="M30" i="38" s="1"/>
  <c r="Y99" i="21"/>
  <c r="Y138" i="21" s="1"/>
  <c r="Y30" i="38" s="1"/>
  <c r="X99" i="21"/>
  <c r="X138" i="21" s="1"/>
  <c r="X30" i="38" s="1"/>
  <c r="AJ99" i="21"/>
  <c r="AJ138" i="21" s="1"/>
  <c r="AJ30" i="38" s="1"/>
  <c r="T99" i="21"/>
  <c r="T138" i="21" s="1"/>
  <c r="T30" i="38" s="1"/>
  <c r="V99" i="21"/>
  <c r="V138" i="21" s="1"/>
  <c r="V30" i="38" s="1"/>
  <c r="AQ99" i="21"/>
  <c r="AQ138" i="21" s="1"/>
  <c r="AQ30" i="38" s="1"/>
  <c r="AM99" i="21"/>
  <c r="AM138" i="21" s="1"/>
  <c r="AM30" i="38" s="1"/>
  <c r="AL99" i="21"/>
  <c r="AL138" i="21" s="1"/>
  <c r="AL30" i="38" s="1"/>
  <c r="AB99" i="21"/>
  <c r="AB138" i="21" s="1"/>
  <c r="AB30" i="38" s="1"/>
  <c r="H57" i="38" l="1"/>
  <c r="AJ29" i="38"/>
  <c r="AJ24" i="39"/>
  <c r="AJ30" i="39" s="1"/>
  <c r="J29" i="38"/>
  <c r="J24" i="39"/>
  <c r="J30" i="39" s="1"/>
  <c r="AP24" i="39"/>
  <c r="AP30" i="39" s="1"/>
  <c r="AP29" i="38"/>
  <c r="AC24" i="39"/>
  <c r="AC30" i="39" s="1"/>
  <c r="AC29" i="38"/>
  <c r="Q29" i="38"/>
  <c r="Q24" i="39"/>
  <c r="Q30" i="39" s="1"/>
  <c r="H34" i="33"/>
  <c r="A4" i="15"/>
  <c r="O22" i="39"/>
  <c r="O28" i="39" s="1"/>
  <c r="O31" i="38"/>
  <c r="U31" i="38"/>
  <c r="U22" i="39"/>
  <c r="U28" i="39" s="1"/>
  <c r="R31" i="38"/>
  <c r="R22" i="39"/>
  <c r="R28" i="39" s="1"/>
  <c r="AJ31" i="38"/>
  <c r="AJ22" i="39"/>
  <c r="AJ28" i="39" s="1"/>
  <c r="AG31" i="38"/>
  <c r="AG22" i="39"/>
  <c r="AG28" i="39" s="1"/>
  <c r="AG24" i="39"/>
  <c r="AG30" i="39" s="1"/>
  <c r="AG29" i="38"/>
  <c r="AB29" i="38"/>
  <c r="AB24" i="39"/>
  <c r="AB30" i="39" s="1"/>
  <c r="K29" i="38"/>
  <c r="K24" i="39"/>
  <c r="K30" i="39" s="1"/>
  <c r="AL29" i="38"/>
  <c r="AL24" i="39"/>
  <c r="AL30" i="39" s="1"/>
  <c r="R29" i="38"/>
  <c r="R24" i="39"/>
  <c r="R30" i="39" s="1"/>
  <c r="N97" i="21"/>
  <c r="N136" i="21" s="1"/>
  <c r="AJ97" i="21"/>
  <c r="AJ136" i="21" s="1"/>
  <c r="AK97" i="21"/>
  <c r="AK136" i="21" s="1"/>
  <c r="Z97" i="21"/>
  <c r="Z136" i="21" s="1"/>
  <c r="AA97" i="21"/>
  <c r="AA136" i="21" s="1"/>
  <c r="AL97" i="21"/>
  <c r="AL136" i="21" s="1"/>
  <c r="V97" i="21"/>
  <c r="V136" i="21" s="1"/>
  <c r="AO97" i="21"/>
  <c r="AO136" i="21" s="1"/>
  <c r="T97" i="21"/>
  <c r="T136" i="21" s="1"/>
  <c r="AE97" i="21"/>
  <c r="AE136" i="21" s="1"/>
  <c r="S97" i="21"/>
  <c r="S136" i="21" s="1"/>
  <c r="X97" i="21"/>
  <c r="X136" i="21" s="1"/>
  <c r="AM97" i="21"/>
  <c r="AM136" i="21" s="1"/>
  <c r="U97" i="21"/>
  <c r="U136" i="21" s="1"/>
  <c r="K97" i="21"/>
  <c r="K136" i="21" s="1"/>
  <c r="L97" i="21"/>
  <c r="L136" i="21" s="1"/>
  <c r="Y97" i="21"/>
  <c r="Y136" i="21" s="1"/>
  <c r="AN97" i="21"/>
  <c r="AN136" i="21" s="1"/>
  <c r="W97" i="21"/>
  <c r="W136" i="21" s="1"/>
  <c r="AD97" i="21"/>
  <c r="AD136" i="21" s="1"/>
  <c r="Q97" i="21"/>
  <c r="Q136" i="21" s="1"/>
  <c r="J97" i="21"/>
  <c r="J136" i="21" s="1"/>
  <c r="AC97" i="21"/>
  <c r="AC136" i="21" s="1"/>
  <c r="AI97" i="21"/>
  <c r="AI136" i="21" s="1"/>
  <c r="R97" i="21"/>
  <c r="R136" i="21" s="1"/>
  <c r="AH97" i="21"/>
  <c r="AH136" i="21" s="1"/>
  <c r="AP97" i="21"/>
  <c r="AP136" i="21" s="1"/>
  <c r="O97" i="21"/>
  <c r="O136" i="21" s="1"/>
  <c r="AG97" i="21"/>
  <c r="AG136" i="21" s="1"/>
  <c r="AF97" i="21"/>
  <c r="AF136" i="21" s="1"/>
  <c r="AB97" i="21"/>
  <c r="AB136" i="21" s="1"/>
  <c r="AQ97" i="21"/>
  <c r="AQ136" i="21" s="1"/>
  <c r="M97" i="21"/>
  <c r="M136" i="21" s="1"/>
  <c r="P97" i="21"/>
  <c r="P136" i="21" s="1"/>
  <c r="AN22" i="39"/>
  <c r="AN28" i="39" s="1"/>
  <c r="AN31" i="38"/>
  <c r="AP31" i="38"/>
  <c r="AP22" i="39"/>
  <c r="AP28" i="39" s="1"/>
  <c r="AH22" i="39"/>
  <c r="AH28" i="39" s="1"/>
  <c r="AH31" i="38"/>
  <c r="AO31" i="38"/>
  <c r="AO22" i="39"/>
  <c r="AO28" i="39" s="1"/>
  <c r="AB22" i="39"/>
  <c r="AB28" i="39" s="1"/>
  <c r="AB31" i="38"/>
  <c r="S29" i="38"/>
  <c r="S24" i="39"/>
  <c r="S30" i="39" s="1"/>
  <c r="L24" i="39"/>
  <c r="L30" i="39" s="1"/>
  <c r="L29" i="38"/>
  <c r="T29" i="38"/>
  <c r="T24" i="39"/>
  <c r="T30" i="39" s="1"/>
  <c r="Z24" i="39"/>
  <c r="Z30" i="39" s="1"/>
  <c r="Z29" i="38"/>
  <c r="AO29" i="38"/>
  <c r="AO24" i="39"/>
  <c r="AO30" i="39" s="1"/>
  <c r="AM24" i="39"/>
  <c r="AM30" i="39" s="1"/>
  <c r="AM29" i="38"/>
  <c r="W22" i="39"/>
  <c r="W28" i="39" s="1"/>
  <c r="W31" i="38"/>
  <c r="T22" i="39"/>
  <c r="T28" i="39" s="1"/>
  <c r="T31" i="38"/>
  <c r="AD22" i="39"/>
  <c r="AD28" i="39" s="1"/>
  <c r="AD31" i="38"/>
  <c r="L31" i="38"/>
  <c r="L22" i="39"/>
  <c r="L28" i="39" s="1"/>
  <c r="AI31" i="38"/>
  <c r="AI22" i="39"/>
  <c r="AI28" i="39" s="1"/>
  <c r="V22" i="39"/>
  <c r="V28" i="39" s="1"/>
  <c r="V31" i="38"/>
  <c r="AN29" i="38"/>
  <c r="AN24" i="39"/>
  <c r="AN30" i="39" s="1"/>
  <c r="AE29" i="38"/>
  <c r="AE24" i="39"/>
  <c r="AE30" i="39" s="1"/>
  <c r="V24" i="39"/>
  <c r="V30" i="39" s="1"/>
  <c r="V29" i="38"/>
  <c r="M24" i="39"/>
  <c r="M30" i="39" s="1"/>
  <c r="M29" i="38"/>
  <c r="AI24" i="39"/>
  <c r="AI30" i="39" s="1"/>
  <c r="AI29" i="38"/>
  <c r="X29" i="38"/>
  <c r="X24" i="39"/>
  <c r="X30" i="39" s="1"/>
  <c r="AE31" i="38"/>
  <c r="AE22" i="39"/>
  <c r="AE28" i="39" s="1"/>
  <c r="N22" i="39"/>
  <c r="N28" i="39" s="1"/>
  <c r="N31" i="38"/>
  <c r="X22" i="39"/>
  <c r="X28" i="39" s="1"/>
  <c r="X31" i="38"/>
  <c r="AL22" i="39"/>
  <c r="AL28" i="39" s="1"/>
  <c r="AL31" i="38"/>
  <c r="AQ22" i="39"/>
  <c r="AQ28" i="39" s="1"/>
  <c r="AQ31" i="38"/>
  <c r="Z31" i="38"/>
  <c r="Z22" i="39"/>
  <c r="Z28" i="39" s="1"/>
  <c r="AH29" i="38"/>
  <c r="AH24" i="39"/>
  <c r="AH30" i="39" s="1"/>
  <c r="W24" i="39"/>
  <c r="W30" i="39" s="1"/>
  <c r="W29" i="38"/>
  <c r="AQ29" i="38"/>
  <c r="AQ24" i="39"/>
  <c r="AQ30" i="39" s="1"/>
  <c r="AF24" i="39"/>
  <c r="AF30" i="39" s="1"/>
  <c r="AF29" i="38"/>
  <c r="AK24" i="39"/>
  <c r="AK30" i="39" s="1"/>
  <c r="AK29" i="38"/>
  <c r="U24" i="39"/>
  <c r="U30" i="39" s="1"/>
  <c r="U29" i="38"/>
  <c r="J45" i="22"/>
  <c r="H63" i="20"/>
  <c r="H67" i="20" s="1"/>
  <c r="AC31" i="38"/>
  <c r="AC22" i="39"/>
  <c r="AC28" i="39" s="1"/>
  <c r="S31" i="38"/>
  <c r="S22" i="39"/>
  <c r="S28" i="39" s="1"/>
  <c r="K31" i="38"/>
  <c r="K22" i="39"/>
  <c r="K28" i="39" s="1"/>
  <c r="AF22" i="39"/>
  <c r="AF28" i="39" s="1"/>
  <c r="AF31" i="38"/>
  <c r="P22" i="39"/>
  <c r="P28" i="39" s="1"/>
  <c r="P31" i="38"/>
  <c r="AA31" i="38"/>
  <c r="AA22" i="39"/>
  <c r="AA28" i="39" s="1"/>
  <c r="H55" i="38"/>
  <c r="AD24" i="39"/>
  <c r="AD30" i="39" s="1"/>
  <c r="AD29" i="38"/>
  <c r="Y24" i="39"/>
  <c r="Y30" i="39" s="1"/>
  <c r="Y29" i="38"/>
  <c r="AA24" i="39"/>
  <c r="AA30" i="39" s="1"/>
  <c r="AA29" i="38"/>
  <c r="P29" i="38"/>
  <c r="P24" i="39"/>
  <c r="P30" i="39" s="1"/>
  <c r="N29" i="38"/>
  <c r="N24" i="39"/>
  <c r="N30" i="39" s="1"/>
  <c r="O29" i="38"/>
  <c r="O24" i="39"/>
  <c r="O30" i="39" s="1"/>
  <c r="Q31" i="38"/>
  <c r="Q22" i="39"/>
  <c r="Q28" i="39" s="1"/>
  <c r="J31" i="38"/>
  <c r="J22" i="39"/>
  <c r="J28" i="39" s="1"/>
  <c r="AM22" i="39"/>
  <c r="AM28" i="39" s="1"/>
  <c r="AM31" i="38"/>
  <c r="Y22" i="39"/>
  <c r="Y28" i="39" s="1"/>
  <c r="Y31" i="38"/>
  <c r="M22" i="39"/>
  <c r="M28" i="39" s="1"/>
  <c r="M31" i="38"/>
  <c r="AK31" i="38"/>
  <c r="AK22" i="39"/>
  <c r="AK28" i="39" s="1"/>
  <c r="H36" i="39" l="1"/>
  <c r="H44" i="39"/>
  <c r="H50" i="39" s="1"/>
  <c r="M23" i="39"/>
  <c r="M29" i="39" s="1"/>
  <c r="M28" i="38"/>
  <c r="AP28" i="38"/>
  <c r="AP23" i="39"/>
  <c r="AP29" i="39" s="1"/>
  <c r="Q28" i="38"/>
  <c r="Q23" i="39"/>
  <c r="Q29" i="39" s="1"/>
  <c r="K23" i="39"/>
  <c r="K29" i="39" s="1"/>
  <c r="K28" i="38"/>
  <c r="T23" i="39"/>
  <c r="T29" i="39" s="1"/>
  <c r="T28" i="38"/>
  <c r="AK23" i="39"/>
  <c r="AK29" i="39" s="1"/>
  <c r="AK28" i="38"/>
  <c r="H56" i="38"/>
  <c r="AQ28" i="38"/>
  <c r="AQ23" i="39"/>
  <c r="AQ29" i="39" s="1"/>
  <c r="AH23" i="39"/>
  <c r="AH29" i="39" s="1"/>
  <c r="AH28" i="38"/>
  <c r="AD23" i="39"/>
  <c r="AD29" i="39" s="1"/>
  <c r="AD28" i="38"/>
  <c r="U28" i="38"/>
  <c r="U23" i="39"/>
  <c r="U29" i="39" s="1"/>
  <c r="AO28" i="38"/>
  <c r="AO23" i="39"/>
  <c r="AO29" i="39" s="1"/>
  <c r="AJ23" i="39"/>
  <c r="AJ29" i="39" s="1"/>
  <c r="AJ28" i="38"/>
  <c r="H46" i="39"/>
  <c r="H38" i="39"/>
  <c r="AB28" i="38"/>
  <c r="AB23" i="39"/>
  <c r="AB29" i="39" s="1"/>
  <c r="R23" i="39"/>
  <c r="R29" i="39" s="1"/>
  <c r="R28" i="38"/>
  <c r="W23" i="39"/>
  <c r="W29" i="39" s="1"/>
  <c r="W28" i="38"/>
  <c r="AM28" i="38"/>
  <c r="AM23" i="39"/>
  <c r="AM29" i="39" s="1"/>
  <c r="V23" i="39"/>
  <c r="V29" i="39" s="1"/>
  <c r="V28" i="38"/>
  <c r="N23" i="39"/>
  <c r="N29" i="39" s="1"/>
  <c r="N28" i="38"/>
  <c r="H54" i="38"/>
  <c r="AF28" i="38"/>
  <c r="AF23" i="39"/>
  <c r="AF29" i="39" s="1"/>
  <c r="AI23" i="39"/>
  <c r="AI29" i="39" s="1"/>
  <c r="AI28" i="38"/>
  <c r="AN28" i="38"/>
  <c r="AN23" i="39"/>
  <c r="AN29" i="39" s="1"/>
  <c r="X23" i="39"/>
  <c r="X29" i="39" s="1"/>
  <c r="X28" i="38"/>
  <c r="AL23" i="39"/>
  <c r="AL29" i="39" s="1"/>
  <c r="AL28" i="38"/>
  <c r="AG23" i="39"/>
  <c r="AG29" i="39" s="1"/>
  <c r="AG28" i="38"/>
  <c r="AC28" i="38"/>
  <c r="AC23" i="39"/>
  <c r="AC29" i="39" s="1"/>
  <c r="Y23" i="39"/>
  <c r="Y29" i="39" s="1"/>
  <c r="Y28" i="38"/>
  <c r="S28" i="38"/>
  <c r="S23" i="39"/>
  <c r="S29" i="39" s="1"/>
  <c r="AA28" i="38"/>
  <c r="AA23" i="39"/>
  <c r="AA29" i="39" s="1"/>
  <c r="A4" i="20"/>
  <c r="H37" i="33"/>
  <c r="P28" i="38"/>
  <c r="P23" i="39"/>
  <c r="P29" i="39" s="1"/>
  <c r="O28" i="38"/>
  <c r="O23" i="39"/>
  <c r="O29" i="39" s="1"/>
  <c r="H143" i="21"/>
  <c r="J28" i="38"/>
  <c r="H142" i="21"/>
  <c r="J23" i="39"/>
  <c r="J29" i="39" s="1"/>
  <c r="L28" i="38"/>
  <c r="L23" i="39"/>
  <c r="L29" i="39" s="1"/>
  <c r="AE23" i="39"/>
  <c r="AE29" i="39" s="1"/>
  <c r="AE28" i="38"/>
  <c r="Z23" i="39"/>
  <c r="Z29" i="39" s="1"/>
  <c r="Z28" i="38"/>
  <c r="H45" i="39" l="1"/>
  <c r="H51" i="39" s="1"/>
  <c r="H37" i="39"/>
  <c r="H53" i="38"/>
  <c r="H59" i="38" s="1"/>
  <c r="H57" i="39"/>
  <c r="H30" i="24" s="1"/>
  <c r="H53" i="39"/>
  <c r="H62" i="39" s="1"/>
  <c r="H147" i="21"/>
  <c r="H58" i="39" l="1"/>
  <c r="H31" i="24" s="1"/>
  <c r="H35" i="33"/>
  <c r="A4" i="21"/>
  <c r="A4" i="39"/>
  <c r="H39" i="33"/>
  <c r="H62" i="38"/>
  <c r="H63" i="38" s="1"/>
  <c r="H60" i="38"/>
  <c r="H81" i="38" l="1"/>
  <c r="N43" i="22" s="1"/>
  <c r="H80" i="38"/>
  <c r="M43" i="22" s="1"/>
  <c r="H79" i="38"/>
  <c r="L43" i="22" s="1"/>
  <c r="H77" i="38"/>
  <c r="H78" i="38"/>
  <c r="K43" i="22" s="1"/>
  <c r="K47" i="22" l="1"/>
  <c r="K70" i="22" s="1"/>
  <c r="K78" i="22"/>
  <c r="J43" i="22"/>
  <c r="H83" i="38"/>
  <c r="H87" i="38" s="1"/>
  <c r="L47" i="22"/>
  <c r="L70" i="22" s="1"/>
  <c r="L78" i="22"/>
  <c r="M78" i="22"/>
  <c r="M47" i="22"/>
  <c r="M70" i="22" s="1"/>
  <c r="N47" i="22"/>
  <c r="N70" i="22" s="1"/>
  <c r="N78" i="22"/>
  <c r="K84" i="22" l="1"/>
  <c r="K130" i="22" s="1"/>
  <c r="L84" i="22"/>
  <c r="L130" i="22" s="1"/>
  <c r="H36" i="33"/>
  <c r="A4" i="38"/>
  <c r="N84" i="22"/>
  <c r="N130" i="22" s="1"/>
  <c r="J78" i="22"/>
  <c r="J47" i="22"/>
  <c r="M84" i="22"/>
  <c r="M130" i="22" s="1"/>
  <c r="J70" i="22" l="1"/>
  <c r="J84" i="22" s="1"/>
  <c r="J130" i="22" s="1"/>
  <c r="H49" i="22"/>
  <c r="H134" i="22" l="1"/>
  <c r="H140" i="22" l="1"/>
  <c r="H150" i="22" s="1"/>
  <c r="K146" i="22"/>
  <c r="H19" i="24" s="1"/>
  <c r="N146" i="22"/>
  <c r="M146" i="22"/>
  <c r="H21" i="24" s="1"/>
  <c r="L146" i="22"/>
  <c r="H20" i="24" s="1"/>
  <c r="J146" i="22"/>
  <c r="H18" i="24" s="1"/>
  <c r="H23" i="24" l="1"/>
  <c r="H43" i="24" s="1"/>
  <c r="H36" i="24"/>
  <c r="H20" i="23" s="1"/>
  <c r="H38" i="24"/>
  <c r="H22" i="23" s="1"/>
  <c r="H39" i="24"/>
  <c r="H23" i="23" s="1"/>
  <c r="H37" i="24"/>
  <c r="H21" i="23" s="1"/>
  <c r="H154" i="22"/>
  <c r="H188" i="22" s="1"/>
  <c r="H38" i="33" l="1"/>
  <c r="A4" i="22"/>
  <c r="A4" i="24"/>
  <c r="H41" i="33"/>
  <c r="H42" i="33" s="1"/>
  <c r="A4" i="33" s="1"/>
</calcChain>
</file>

<file path=xl/sharedStrings.xml><?xml version="1.0" encoding="utf-8"?>
<sst xmlns="http://schemas.openxmlformats.org/spreadsheetml/2006/main" count="2913" uniqueCount="767">
  <si>
    <t>PCDM charging model</t>
  </si>
  <si>
    <t>Charging year:</t>
  </si>
  <si>
    <t>DNO name:</t>
  </si>
  <si>
    <t>Data version:</t>
  </si>
  <si>
    <t>DISCLAIMER</t>
  </si>
  <si>
    <t>Key:</t>
  </si>
  <si>
    <t>Format</t>
  </si>
  <si>
    <t>Description</t>
  </si>
  <si>
    <t>Hardcoded input</t>
  </si>
  <si>
    <t>Cell intentionally blank</t>
  </si>
  <si>
    <t>Calculation</t>
  </si>
  <si>
    <t>Notes:</t>
  </si>
  <si>
    <t>Model version</t>
  </si>
  <si>
    <t>Model date:</t>
  </si>
  <si>
    <t>Version log</t>
  </si>
  <si>
    <t>Model date</t>
  </si>
  <si>
    <t>Development stage</t>
  </si>
  <si>
    <t>Author</t>
  </si>
  <si>
    <t>Description of changes</t>
  </si>
  <si>
    <t>Working draft</t>
  </si>
  <si>
    <t>Model checks</t>
  </si>
  <si>
    <t>Issues identified by in-built model checks, by sheet</t>
  </si>
  <si>
    <t>MEAV</t>
  </si>
  <si>
    <t>Expenditure</t>
  </si>
  <si>
    <t>Capitalised</t>
  </si>
  <si>
    <t>Rev allocation</t>
  </si>
  <si>
    <t>CDCM discounts</t>
  </si>
  <si>
    <t>Version log lists</t>
  </si>
  <si>
    <t>Development stages</t>
  </si>
  <si>
    <t>…</t>
  </si>
  <si>
    <t>End of sheet</t>
  </si>
  <si>
    <t>Map</t>
  </si>
  <si>
    <t>Units</t>
  </si>
  <si>
    <t>Constant</t>
  </si>
  <si>
    <t>Legal text reference</t>
  </si>
  <si>
    <t>132kV</t>
  </si>
  <si>
    <t>132kV/EHV</t>
  </si>
  <si>
    <t>EHV</t>
  </si>
  <si>
    <t>EHV/HV</t>
  </si>
  <si>
    <t>132kV/HV</t>
  </si>
  <si>
    <t>HV</t>
  </si>
  <si>
    <t>HV/LV</t>
  </si>
  <si>
    <t>EDCM notional asset value, total</t>
  </si>
  <si>
    <t>LV mains split</t>
  </si>
  <si>
    <t>%</t>
  </si>
  <si>
    <t>HV split</t>
  </si>
  <si>
    <t>MEAV asset count (km if noted), by asset type</t>
  </si>
  <si>
    <t>LV main overhead line km</t>
  </si>
  <si>
    <t>units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</si>
  <si>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</si>
  <si>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</si>
  <si>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</si>
  <si>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</si>
  <si>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</si>
  <si>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</si>
  <si>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</si>
  <si>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</si>
  <si>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</si>
  <si>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</si>
  <si>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</si>
  <si>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</si>
  <si>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</si>
  <si>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</si>
  <si>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</si>
  <si>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</si>
  <si>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</si>
  <si>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</si>
  <si>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</si>
  <si>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</si>
  <si>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</si>
  <si>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</si>
  <si>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</si>
  <si>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</si>
  <si>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</si>
  <si>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</si>
  <si>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</si>
  <si>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</si>
  <si>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</si>
  <si>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</si>
  <si>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</si>
  <si>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</si>
  <si>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</si>
  <si>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</si>
  <si>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</si>
  <si>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</si>
  <si>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</si>
  <si>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</si>
  <si>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</si>
  <si>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</si>
  <si>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</si>
  <si>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</si>
  <si>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</si>
  <si>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</si>
  <si>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</si>
  <si>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</si>
  <si>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</si>
  <si>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</si>
  <si>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</si>
  <si>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</si>
  <si>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</si>
  <si>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</si>
  <si>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</si>
  <si>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</si>
  <si>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</si>
  <si>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</si>
  <si>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</si>
  <si>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</si>
  <si>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</si>
  <si>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</si>
  <si>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</si>
  <si>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</si>
  <si>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</si>
  <si>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</si>
  <si>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</si>
  <si>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</si>
  <si>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</si>
  <si>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</si>
  <si>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</si>
  <si>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</si>
  <si>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</si>
  <si>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</si>
  <si>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</si>
  <si>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</si>
  <si>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</si>
  <si>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</si>
  <si>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</si>
  <si>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</si>
  <si>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</si>
  <si>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</si>
  <si>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</si>
  <si>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</si>
  <si>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</si>
  <si>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MEAV per unit, by asset type</t>
  </si>
  <si>
    <t>2007/08 RRP expenditure, by cost category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</si>
  <si>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</si>
  <si>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</si>
  <si>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</si>
  <si>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</si>
  <si>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</si>
  <si>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</si>
  <si>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</si>
  <si>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</si>
  <si>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</si>
  <si>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</si>
  <si>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</si>
  <si>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</si>
  <si>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</si>
  <si>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</si>
  <si>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</si>
  <si>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</si>
  <si>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</si>
  <si>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</si>
  <si>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</si>
  <si>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</si>
  <si>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</si>
  <si>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</si>
  <si>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</si>
  <si>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</si>
  <si>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</si>
  <si>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</si>
  <si>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</si>
  <si>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</si>
  <si>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</si>
  <si>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</si>
  <si>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</si>
  <si>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LV</t>
  </si>
  <si>
    <t>EHV and 132kV</t>
  </si>
  <si>
    <t>Adjusted 2007/08 load related new connections &amp; reinforcement (net of contributions), by network level</t>
  </si>
  <si>
    <t>LV/HV</t>
  </si>
  <si>
    <t>LV services share of LV net capex</t>
  </si>
  <si>
    <t>Price control allowed revenue, by component (2005/06 to 2009/10)</t>
  </si>
  <si>
    <t>Aggregate return allowance</t>
  </si>
  <si>
    <t>Aggregate depreciation allowance</t>
  </si>
  <si>
    <t>Aggregate operating allowance</t>
  </si>
  <si>
    <t>2007/08 total allowed revenue</t>
  </si>
  <si>
    <t>2007/08 net incentive revenue</t>
  </si>
  <si>
    <t>2007/08 units distributed, by network level</t>
  </si>
  <si>
    <t>GWh per year</t>
  </si>
  <si>
    <t>Universal values</t>
  </si>
  <si>
    <t>scalar</t>
  </si>
  <si>
    <t>Option 1</t>
  </si>
  <si>
    <t>selection</t>
  </si>
  <si>
    <t>Option 2</t>
  </si>
  <si>
    <t>Deduct from revenue</t>
  </si>
  <si>
    <t>Option 3</t>
  </si>
  <si>
    <t>Do not allocate</t>
  </si>
  <si>
    <t>MEAV allocation option name</t>
  </si>
  <si>
    <t>Non-load new &amp; replacement assets
(net of contributions)</t>
  </si>
  <si>
    <t>System Mapping Cartographical</t>
  </si>
  <si>
    <t>Pension deficit repair payments by related parties</t>
  </si>
  <si>
    <t>Direct cost indicator options (for data validation)</t>
  </si>
  <si>
    <t>flag</t>
  </si>
  <si>
    <t>Network level allocation options (for data validation)</t>
  </si>
  <si>
    <t>LV services</t>
  </si>
  <si>
    <t>LV mains</t>
  </si>
  <si>
    <t>Option 4</t>
  </si>
  <si>
    <t>Option 5</t>
  </si>
  <si>
    <t>LV mains overhead lines</t>
  </si>
  <si>
    <t>network level</t>
  </si>
  <si>
    <t>LV services overhead lines</t>
  </si>
  <si>
    <t>LV mains underground cable, consac</t>
  </si>
  <si>
    <t>LV mains underground cable, plastic</t>
  </si>
  <si>
    <t>LV mains underground cable, paper</t>
  </si>
  <si>
    <t>LV services underground cable</t>
  </si>
  <si>
    <t>LV pillar, indoors</t>
  </si>
  <si>
    <t>LV pillar, outdoors</t>
  </si>
  <si>
    <t>LV board, wall-mounted</t>
  </si>
  <si>
    <t>LV board, underground</t>
  </si>
  <si>
    <t>LV fuses, pole-mounted</t>
  </si>
  <si>
    <t>LV fuses, tower-mounted</t>
  </si>
  <si>
    <t>6.6/11kV underground cable</t>
  </si>
  <si>
    <t>20kV underground cable</t>
  </si>
  <si>
    <t>HV submarine cable</t>
  </si>
  <si>
    <t>33kV overhead pole line</t>
  </si>
  <si>
    <t>33kV overhead tower line</t>
  </si>
  <si>
    <t>66kV overhead pole line</t>
  </si>
  <si>
    <t>66kV overhead tower line</t>
  </si>
  <si>
    <t>33kV underground cable, non-pressurised</t>
  </si>
  <si>
    <t>33kV underground cable, oil</t>
  </si>
  <si>
    <t>33kV underground cable, gas</t>
  </si>
  <si>
    <t>66kV underground cable, non-pressurised</t>
  </si>
  <si>
    <t>66kV underground cable, oil</t>
  </si>
  <si>
    <t>66kV underground cable, gas</t>
  </si>
  <si>
    <t>EHV submarine cable</t>
  </si>
  <si>
    <t>132kV overhead line pole conductor</t>
  </si>
  <si>
    <t>132kV overhead line tower conductor</t>
  </si>
  <si>
    <t>132kV underground cable, non-pressurised</t>
  </si>
  <si>
    <t>132kV underground cable, oil</t>
  </si>
  <si>
    <t>132kV underground cable, gas</t>
  </si>
  <si>
    <t>HV remote terminal unit, pole-mounted</t>
  </si>
  <si>
    <t>HV remote terminal unit, ground-mounted</t>
  </si>
  <si>
    <t>number of issues</t>
  </si>
  <si>
    <t>Sum of checks</t>
  </si>
  <si>
    <t>Unadjusted MEAV (EHV and 132kV)</t>
  </si>
  <si>
    <t>Notional EHV and 132 kV asset value</t>
  </si>
  <si>
    <t>EHV reduction rate</t>
  </si>
  <si>
    <t>Adjusted MEAV (EHV and 132kV)</t>
  </si>
  <si>
    <t>Adjusted MEAV</t>
  </si>
  <si>
    <t>Total adjusted MEAV</t>
  </si>
  <si>
    <t>Check sum to 100%</t>
  </si>
  <si>
    <t>Services share of LV MEAV</t>
  </si>
  <si>
    <t>Mains share of LV MEAV</t>
  </si>
  <si>
    <t>Checks</t>
  </si>
  <si>
    <t>Expensed proportions</t>
  </si>
  <si>
    <t>Expenditure allocated based on RRP</t>
  </si>
  <si>
    <t>Expenditure allocated to cost category based on RRP, by network level</t>
  </si>
  <si>
    <t>Total expenditure allocated to a network level</t>
  </si>
  <si>
    <t>Expenditure allocated based on MEAV</t>
  </si>
  <si>
    <t>Remaining expenditure for allocation</t>
  </si>
  <si>
    <t>Share of expenditure capitalised</t>
  </si>
  <si>
    <t>LV mains share of LV net capex</t>
  </si>
  <si>
    <t>Capitalised proportions</t>
  </si>
  <si>
    <t>Price control allowed revenue (2005/06 to 2009/10)</t>
  </si>
  <si>
    <t>Opex share of allowed revenue</t>
  </si>
  <si>
    <t>Depreciation and return share of allowed revenue</t>
  </si>
  <si>
    <t xml:space="preserve">Revenue not to share </t>
  </si>
  <si>
    <t>Units flowing</t>
  </si>
  <si>
    <t>"U"</t>
  </si>
  <si>
    <t>GWh</t>
  </si>
  <si>
    <t>Loss adjustment factors, by network level</t>
  </si>
  <si>
    <t>Units flowing, loss adjusted to LV</t>
  </si>
  <si>
    <t>Revenue not to share per unit</t>
  </si>
  <si>
    <t>Sum of all sheet checks</t>
  </si>
  <si>
    <t>Expenditure to be allocated based on MEAV</t>
  </si>
  <si>
    <t>User input</t>
  </si>
  <si>
    <t>Value</t>
  </si>
  <si>
    <t>Expensed proportions, by network level (CDCM)</t>
  </si>
  <si>
    <t>EDCM</t>
  </si>
  <si>
    <t>CDCM</t>
  </si>
  <si>
    <t>Total expenditure allocated, by network level and cost category (EDCM)</t>
  </si>
  <si>
    <t>Total expenditure allocated, by network level and cost category (CDCM)</t>
  </si>
  <si>
    <t>Total expenditure allocated</t>
  </si>
  <si>
    <t>Share of expenditure expensed</t>
  </si>
  <si>
    <t>Total allocated costs not capitalised (EDCM)</t>
  </si>
  <si>
    <t>Expensed proportions, by network level (EDCM)</t>
  </si>
  <si>
    <t>Check costs allocated are equivalent</t>
  </si>
  <si>
    <t>Total MEAV</t>
  </si>
  <si>
    <t>MEAV, by asset type</t>
  </si>
  <si>
    <t>Total EHV and 132kV MEAV</t>
  </si>
  <si>
    <t>LV demand</t>
  </si>
  <si>
    <t>HV generation</t>
  </si>
  <si>
    <t>EHV and 132kV direct proportion</t>
  </si>
  <si>
    <t>LV services (CDCM)</t>
  </si>
  <si>
    <t>LV mains (CDCM)</t>
  </si>
  <si>
    <t>HV/LV (CDCM)</t>
  </si>
  <si>
    <t>HV (CDCM)</t>
  </si>
  <si>
    <t>EHV and 132kV (CDCM)</t>
  </si>
  <si>
    <t>LV services (EDCM)</t>
  </si>
  <si>
    <t>LV mains (EDCM)</t>
  </si>
  <si>
    <t>HV/LV (EDCM)</t>
  </si>
  <si>
    <t>HV (EDCM)</t>
  </si>
  <si>
    <t>EHV and 132kV (EDCM)</t>
  </si>
  <si>
    <t>Direct proportions</t>
  </si>
  <si>
    <t>LV substation demand or LV generation</t>
  </si>
  <si>
    <t>HV demand or LV substation generation</t>
  </si>
  <si>
    <t>EDCM user discounts</t>
  </si>
  <si>
    <t>EDCM boundary 0000</t>
  </si>
  <si>
    <t>EDCM boundary 132kV</t>
  </si>
  <si>
    <t>EDCM boundary 132kV/EHV</t>
  </si>
  <si>
    <t>EDCM boundary EHV</t>
  </si>
  <si>
    <t>EDCM boundary HVplus</t>
  </si>
  <si>
    <t>CDCM user discounts</t>
  </si>
  <si>
    <t>Allocation rules allocation key options (for data validation)</t>
  </si>
  <si>
    <t>Allocation rules allocation key, by cost category</t>
  </si>
  <si>
    <t>Allocation rules percentage capitalised, by cost category</t>
  </si>
  <si>
    <t>EDCM discount cap</t>
  </si>
  <si>
    <t>Cover</t>
  </si>
  <si>
    <t>Version control</t>
  </si>
  <si>
    <t>Model map</t>
  </si>
  <si>
    <t>Fixed inputs</t>
  </si>
  <si>
    <t>DNO inputs</t>
  </si>
  <si>
    <t>Expensed</t>
  </si>
  <si>
    <t>Direct</t>
  </si>
  <si>
    <t>EDCM discounts</t>
  </si>
  <si>
    <t>&gt;</t>
  </si>
  <si>
    <t>LDNO LV: LV user</t>
  </si>
  <si>
    <t>LDNO HV: LV user</t>
  </si>
  <si>
    <t>LDNO HV: LV Sub user</t>
  </si>
  <si>
    <t>LDNO HV: HV user</t>
  </si>
  <si>
    <t>PCDM user discount for CDCM</t>
  </si>
  <si>
    <t>Network length split for EHV</t>
  </si>
  <si>
    <t>S</t>
  </si>
  <si>
    <t>Share of EHV and 132kV MEAV, by network level</t>
  </si>
  <si>
    <t>Allocation percentages</t>
  </si>
  <si>
    <t>EDCM user discount (before cap), by end user type and discount category</t>
  </si>
  <si>
    <t>EDCM user discount, by end user type and discount category</t>
  </si>
  <si>
    <t>Discount category 0000</t>
  </si>
  <si>
    <t>Discount category 132kV</t>
  </si>
  <si>
    <t>Discount category 132kV/EHV</t>
  </si>
  <si>
    <t>Discount category EHV</t>
  </si>
  <si>
    <t>Discount category HVplus</t>
  </si>
  <si>
    <t>Adjusted total expenditure allocation to LV, by network level</t>
  </si>
  <si>
    <t>Total expenditure allocation, by cost category and network level</t>
  </si>
  <si>
    <t>Adjusted total expenditure allocation to LV, by cost category and network level</t>
  </si>
  <si>
    <t>Adjusted direct total expenditure allocation, by network level</t>
  </si>
  <si>
    <t>HV direct proportion</t>
  </si>
  <si>
    <t>LV direct proportion</t>
  </si>
  <si>
    <t>MEAV, by network level</t>
  </si>
  <si>
    <t>Share of total MEAV, by network level</t>
  </si>
  <si>
    <t>Share of LV MEAV, by network level</t>
  </si>
  <si>
    <t>"U" is the allocation percentage for the revenue not to share.</t>
  </si>
  <si>
    <t>EDCM discounts are calculated using the parameters set out above and then capped.</t>
  </si>
  <si>
    <t>Sheet</t>
  </si>
  <si>
    <t>Section</t>
  </si>
  <si>
    <t>2007/08 transmission exit charges</t>
  </si>
  <si>
    <t>Revenue allocation, by network level</t>
  </si>
  <si>
    <t>Revenue per unit</t>
  </si>
  <si>
    <t>Additional DNO revenue</t>
  </si>
  <si>
    <t>Additional DNO revenue share, by network level</t>
  </si>
  <si>
    <t>Allocation (EDCM), by network level</t>
  </si>
  <si>
    <t>Allocation (CDCM), by network level</t>
  </si>
  <si>
    <t>Allocation (EDCM), by network level (re-ordered)</t>
  </si>
  <si>
    <t>EDCM user discount components</t>
  </si>
  <si>
    <t>P, by user type and boundary type</t>
  </si>
  <si>
    <t>option</t>
  </si>
  <si>
    <t>Expenditure allocated based on unadjusted MEAV, by network level</t>
  </si>
  <si>
    <t>Expenditure allocated based on adjusted MEAV, by network level</t>
  </si>
  <si>
    <t>n/a</t>
  </si>
  <si>
    <t>Table "Mapping of assets to network levels"</t>
  </si>
  <si>
    <t>Network level allocation flag, by asset type and network level</t>
  </si>
  <si>
    <t>Table "MEAV EDCM mapping"</t>
  </si>
  <si>
    <t>EHV and 132kV network level allocation flag, by asset type and network level</t>
  </si>
  <si>
    <t>Adjusted MEAV, by network level</t>
  </si>
  <si>
    <t>Share of total adjusted MEAV, by network level</t>
  </si>
  <si>
    <t>This sheet contains calculations to allocate expenditure to different network levels.</t>
  </si>
  <si>
    <t>Some costs are allocated to network levels based on RRP data.</t>
  </si>
  <si>
    <t>2007/08 RRP expenditure, by network level and cost category</t>
  </si>
  <si>
    <t>132kV submarine cable</t>
  </si>
  <si>
    <t>6.6/11kV overhead line, open</t>
  </si>
  <si>
    <t>6.6/11kV overhead line, covered</t>
  </si>
  <si>
    <t>20kV overhead line, open</t>
  </si>
  <si>
    <t>20kV overhead line, covered</t>
  </si>
  <si>
    <t>6.6/11kV circuit breaker pole-mounted</t>
  </si>
  <si>
    <t>6.6/11kV circuit breaker ground-mounted</t>
  </si>
  <si>
    <t>6.6/11kV other switchgear, pole-mounted</t>
  </si>
  <si>
    <t>6.6/11kV other switchgear, ground-mounted</t>
  </si>
  <si>
    <t>20kV circuit breaker, pole-mounted</t>
  </si>
  <si>
    <t>20kV circuit breaker, ground-mounted</t>
  </si>
  <si>
    <t>20kV switch, pole-mounted</t>
  </si>
  <si>
    <t>20kV switch, ground-mounted</t>
  </si>
  <si>
    <t>20kV other switchgear, pole-mounted</t>
  </si>
  <si>
    <t>20kV other switchgear, ground-mounted</t>
  </si>
  <si>
    <t>6.6/11kV transformer, pole-mounted</t>
  </si>
  <si>
    <t>6.6/11kV transformer, ground-mounted</t>
  </si>
  <si>
    <t>20kV transformer, pole-mounted</t>
  </si>
  <si>
    <t>20kV transformer, ground-mounted</t>
  </si>
  <si>
    <t>33kV circuit breaker, indoors</t>
  </si>
  <si>
    <t>33kV circuit breaker, outdoors</t>
  </si>
  <si>
    <t>33kV switch, ground-mounted</t>
  </si>
  <si>
    <t>33kV switch, pole-mounted</t>
  </si>
  <si>
    <t>66kV circuit breaker, indoors and outdoors</t>
  </si>
  <si>
    <t>33kV transformer, pole-mounted</t>
  </si>
  <si>
    <t>33kV transformer, ground mounted</t>
  </si>
  <si>
    <t>132kV circuit breaker, indoors and outdoors</t>
  </si>
  <si>
    <t>132kV/EHV remote terminal unit, pole-mounted</t>
  </si>
  <si>
    <t>132kV/EHV remote terminal unit, ground-mounted</t>
  </si>
  <si>
    <t>MEAV values at the EHV and 132kV level are adjusted as part of the calculation of CDCM user discounts.</t>
  </si>
  <si>
    <t>Net capex, by network level</t>
  </si>
  <si>
    <t>Total net capex</t>
  </si>
  <si>
    <t>Net capex (adjusted), by network level</t>
  </si>
  <si>
    <t>This sheet contains calculations of revenue allocations to each network level.</t>
  </si>
  <si>
    <t>Capitalised proportions, by network level (EDCM)</t>
  </si>
  <si>
    <t>Capitalised proportions, by network level (CDCM)</t>
  </si>
  <si>
    <t>Share of allowed revenue, by network level (EDCM)</t>
  </si>
  <si>
    <t>Share of allowed revenue, by network level (CDCM)</t>
  </si>
  <si>
    <t>Shares of allowed revenue by network level</t>
  </si>
  <si>
    <t>Revenue by network level</t>
  </si>
  <si>
    <t>Adjusted total revenue to share</t>
  </si>
  <si>
    <t>Adjusted total revenue to share, by network level</t>
  </si>
  <si>
    <t>Allocation, by network level and charging model</t>
  </si>
  <si>
    <t>Revenue to share per unit, by network level and charging model</t>
  </si>
  <si>
    <t>Revenue not to share allocation, by charging model</t>
  </si>
  <si>
    <t>This sheet presents the final outputs of the PCDM.</t>
  </si>
  <si>
    <t>Revenue not to share allocation (EDCM)</t>
  </si>
  <si>
    <t>Mapping of net capex input network levels to PCDM network levels (EDCM)</t>
  </si>
  <si>
    <t>Mapping of net capex input network levels to PCDM network levels (CDCM)</t>
  </si>
  <si>
    <t>Table "Allocation rules"</t>
  </si>
  <si>
    <t>CDCM notional EHV asset values</t>
  </si>
  <si>
    <t>Notional asset values should be imported each year from the latest CDCM model.</t>
  </si>
  <si>
    <t>This notional asset value should be imported each year from the latest EDCM model.</t>
  </si>
  <si>
    <t>Adjusted 2007/08 RRP expenditure, by cost category and network level</t>
  </si>
  <si>
    <t>2007/08 RRP expenditure, by cost category and network level</t>
  </si>
  <si>
    <t>The DNO provides a disaggregation of price control allowed revenue into the following three categories.</t>
  </si>
  <si>
    <t>The DNO provides the value of total price control revenue for 2007/08.</t>
  </si>
  <si>
    <t>2007/08 network losses</t>
  </si>
  <si>
    <t>The DNO provides RRP values for units distributed during 2007/08 for each of the following three network levels.</t>
  </si>
  <si>
    <t>The DNO provides the RRP value of network losses in 2007/08.</t>
  </si>
  <si>
    <t>Net capex (2005/06 to 2014/15), by network level</t>
  </si>
  <si>
    <t>20kV overhead open km</t>
  </si>
  <si>
    <t>Click here to return to model map</t>
  </si>
  <si>
    <t>2019-20 pre-release plus Expert Panel clarifications</t>
  </si>
  <si>
    <t>This section contains universal constants used in this model.</t>
  </si>
  <si>
    <t>Inputs from other charging models</t>
  </si>
  <si>
    <t>Other DNO-specific inputs</t>
  </si>
  <si>
    <t>This section contains inputs provided by the Nominated Calculation Agent each year.</t>
  </si>
  <si>
    <t>This sheet contains inputs specific to each DNO or updated each year.</t>
  </si>
  <si>
    <t>This section contains input values from the DNO's CDCM and EDCM models.</t>
  </si>
  <si>
    <t>£ per unit</t>
  </si>
  <si>
    <t>£ per year</t>
  </si>
  <si>
    <t>£</t>
  </si>
  <si>
    <t>£m</t>
  </si>
  <si>
    <t xml:space="preserve">This sheet contains calculations of values used to allocate the depreciation and return on regulatory asset value </t>
  </si>
  <si>
    <t>elements for price control allowed revenue to each network level.</t>
  </si>
  <si>
    <t>DNO net capex values are mapped to the network levels used to calculate user discounts. Values at the EHV and</t>
  </si>
  <si>
    <t>132kV level are adjusted using the EHV reduction rate for the calculation of CDCM user discounts.</t>
  </si>
  <si>
    <t xml:space="preserve">Allocation percentages are used to determine the share of end user charges reflected in end user tariffs and </t>
  </si>
  <si>
    <t>the share that is discounted.</t>
  </si>
  <si>
    <t xml:space="preserve">EDCM user discounts have up to four main components. Values for generation are equivalent to those for demand </t>
  </si>
  <si>
    <t>one network level above the end user.</t>
  </si>
  <si>
    <t xml:space="preserve">"S" is the sum of the allocation percentages for networks levels between the end user and the GSP. The network </t>
  </si>
  <si>
    <t>level of the end user is included for demand but not for generation.</t>
  </si>
  <si>
    <t xml:space="preserve">"P" is the sum of the allocation percentages for networks levels between the DNO-LDNO boundary and the end </t>
  </si>
  <si>
    <t>user. The network level of the end user is included for demand but not for generation.</t>
  </si>
  <si>
    <t xml:space="preserve">Direct proportions are calculated as the "Direct" share of total expenditure allocated to each network level, after </t>
  </si>
  <si>
    <t>excluding negative values.</t>
  </si>
  <si>
    <t>Revenue allocated to network levels is rescaled using volumes loss-adjusted to LV.</t>
  </si>
  <si>
    <t>revenue to network levels.</t>
  </si>
  <si>
    <t>rate, which varies by cost category.</t>
  </si>
  <si>
    <t>use different MEAV-based allocations.</t>
  </si>
  <si>
    <t xml:space="preserve">This sheet contains calculations used to allocate expenditure based on modern equivalent asset values (MEAV), </t>
  </si>
  <si>
    <t>including an adjustment for EHV and 132kV assets, which is used in the CDCM user discounts.</t>
  </si>
  <si>
    <t xml:space="preserve">A HV split value should be provided by the Nominated Calculation Agent each year. This value should be the </t>
  </si>
  <si>
    <t>same for all DNOs.</t>
  </si>
  <si>
    <t xml:space="preserve">The DNO provides values for the following four network levels based on the 2007/08 RRP and ten-year averages </t>
  </si>
  <si>
    <t>of forecast business plan questionnaire (FBPQ) data.</t>
  </si>
  <si>
    <t xml:space="preserve">The DNO provides ten-year net capex values for the following five network levels, including adjustments </t>
  </si>
  <si>
    <t xml:space="preserve">The DNO provides the ratio of net capital expenditure on total condition based replacement costs for LV mains to </t>
  </si>
  <si>
    <t>the sum of LV mains and LV services.</t>
  </si>
  <si>
    <t xml:space="preserve">The DNO provides the value of additional annual DNO revenue relating to customer contributions, calculated </t>
  </si>
  <si>
    <t>using ten years of FBPQ data.</t>
  </si>
  <si>
    <t>TRUE/FALSE</t>
  </si>
  <si>
    <t>Units flowing, loss adjusted to LV greater than zero</t>
  </si>
  <si>
    <t>£/GWh per year</t>
  </si>
  <si>
    <t>Revenue to share per unit, all network levels, by charging model</t>
  </si>
  <si>
    <t>Adjusted direct total expenditure allocation greater than zero, by network level</t>
  </si>
  <si>
    <t>LV (CDCM)</t>
  </si>
  <si>
    <t>Check allocations greater than zero</t>
  </si>
  <si>
    <t>Text</t>
  </si>
  <si>
    <t>Value from another worksheet</t>
  </si>
  <si>
    <t>Value used on another worksheet</t>
  </si>
  <si>
    <t>Label</t>
  </si>
  <si>
    <t>Annotation</t>
  </si>
  <si>
    <t>Column heading</t>
  </si>
  <si>
    <t/>
  </si>
  <si>
    <t>The following table provides links to all the sheets within this model and the main sections within them.</t>
  </si>
  <si>
    <t>Development stage:</t>
  </si>
  <si>
    <t>One million</t>
  </si>
  <si>
    <t>Total greater than zero</t>
  </si>
  <si>
    <t>Total net capex (adjusted)</t>
  </si>
  <si>
    <t>Input sheet</t>
  </si>
  <si>
    <t>Calculation sheet</t>
  </si>
  <si>
    <t>Output sheet</t>
  </si>
  <si>
    <t>Check total expenditure allocated is greater than zero</t>
  </si>
  <si>
    <t>Check allocation to network levels greater than zero</t>
  </si>
  <si>
    <t>Issue identified in a check</t>
  </si>
  <si>
    <t>Please note that the model treats "Deduct from revenue," "Do not allocate" and blank values as the same.</t>
  </si>
  <si>
    <t>This sheet includes calculations of "Direct proportions." Values for HV and LV are used for CDCM discounts.</t>
  </si>
  <si>
    <t>The value for EHV and 132kV is used for EDCM discounts.</t>
  </si>
  <si>
    <t>Check S values greater than zero</t>
  </si>
  <si>
    <t>The DNO provides expenditure values for the following 33 cost categories using 2007/08 regulatory reporting</t>
  </si>
  <si>
    <t>pack (RRP) data.</t>
  </si>
  <si>
    <t xml:space="preserve">Network level MEAV values are calculated using asset-specific MEAV values, asset counts and a mapping of </t>
  </si>
  <si>
    <t xml:space="preserve">Some costs not allocated to network levels based on RRP data are allocated based on the relative MEAV value of </t>
  </si>
  <si>
    <t>each network level. MEAV values for the CDCM discounts include an adjustment.</t>
  </si>
  <si>
    <t xml:space="preserve">Shares of allowed revenue are applied to 2007/08 allowed revenue after removing elements not allocated to </t>
  </si>
  <si>
    <t>specific levels. Additional revenues are also allocated to network levels based on expensed proportions.</t>
  </si>
  <si>
    <t>Sheet tab colour</t>
  </si>
  <si>
    <t>Level 1 heading</t>
  </si>
  <si>
    <t>Level 2 heading</t>
  </si>
  <si>
    <t>Level 3 and 4 heading</t>
  </si>
  <si>
    <t>Information sheet</t>
  </si>
  <si>
    <t>Model output</t>
  </si>
  <si>
    <t>Output to other models</t>
  </si>
  <si>
    <t>-</t>
  </si>
  <si>
    <t>LV MEAV is greater than zero</t>
  </si>
  <si>
    <t>Total MEAV is greater than zero</t>
  </si>
  <si>
    <t>Total EHV and 132kV MEAV is greater than zero</t>
  </si>
  <si>
    <t>Sum of notional asset values is greater than zero</t>
  </si>
  <si>
    <t>Total adjusted MEAV is greater than zero</t>
  </si>
  <si>
    <t>See User Guide</t>
  </si>
  <si>
    <t>Network levels included in the calculation of "S", by user type and network level</t>
  </si>
  <si>
    <t>P adder, by boundary type</t>
  </si>
  <si>
    <t>"P" is supplemented by an additional term in the case of the 132kV and EHV network levels to discount a share of the</t>
  </si>
  <si>
    <t>boundary level where it is at a circuit level, rather than a transformation level.</t>
  </si>
  <si>
    <t>Check expenditure allocated is equal to the nearest £ per year</t>
  </si>
  <si>
    <t>Check expenditure category is allocated to a single level</t>
  </si>
  <si>
    <t>Check MEAV value equal before and after allocation to levels</t>
  </si>
  <si>
    <t>Total expenditure allocated not capitalised (CDCM)</t>
  </si>
  <si>
    <t>Total expenditure allocated not capitalised is greater than zero</t>
  </si>
  <si>
    <t>Allowed revenue is greater than zero</t>
  </si>
  <si>
    <t>Sum of "U" and losses is greater than zero</t>
  </si>
  <si>
    <t>Sum of revenue to share and not to share per unit is greater than zero</t>
  </si>
  <si>
    <t>S is greater than zero</t>
  </si>
  <si>
    <t>Network length split for 132kV</t>
  </si>
  <si>
    <t>Network level allocations and "U" do not sum to 1</t>
  </si>
  <si>
    <t>MEAV allocation flag</t>
  </si>
  <si>
    <t>A LV mains split value should be provided by the Nominated Calculation Agent each year. This value may vary by DNO.</t>
  </si>
  <si>
    <t>"EHV/HV allocation"</t>
  </si>
  <si>
    <t>"EHV allocation"</t>
  </si>
  <si>
    <t>"132kV allocation"</t>
  </si>
  <si>
    <t>"132kV/EHV allocation"</t>
  </si>
  <si>
    <t>EHV and 132kV units distributed</t>
  </si>
  <si>
    <t>HV units distributed</t>
  </si>
  <si>
    <t>LV units distributed</t>
  </si>
  <si>
    <t>Boundary 0000 discount percentages, by tariff type</t>
  </si>
  <si>
    <t>LV Sub demand or LV generation</t>
  </si>
  <si>
    <t>HV demand or LV Sub generation</t>
  </si>
  <si>
    <t>Boundary 132kV discount percentages, by tariff type</t>
  </si>
  <si>
    <t>Boundary 132kV/EHV discount percentages, by tariff type</t>
  </si>
  <si>
    <t>Boundary EHV discount percentages, by tariff type</t>
  </si>
  <si>
    <t>Boundary HVplus discount percentages, by tariff type</t>
  </si>
  <si>
    <t xml:space="preserve">This sheet contains calculations of "expensed proportions" used to allocate the operating expenditure proportion of DNO </t>
  </si>
  <si>
    <t xml:space="preserve">Expensed proportions are calculated based on the expenditure allocated to each network level and a capitalisation </t>
  </si>
  <si>
    <t>Expensed proportion of total expenditure allocated, by network level (EDCM)</t>
  </si>
  <si>
    <t>Expensed proportion of total expenditure allocated, by network level (CDCM)</t>
  </si>
  <si>
    <t xml:space="preserve">network levels. No allocation option is specified for the first category as its inputs are defined separately. </t>
  </si>
  <si>
    <t>Network length split values, used to share costs between parties at the boundary level, are specified as 100%</t>
  </si>
  <si>
    <t>in the DCUSA text.</t>
  </si>
  <si>
    <t>A cap on EDCM discounts is explicitly specified in the DCUSA text.</t>
  </si>
  <si>
    <t xml:space="preserve">The Allocation rules table in the DCUSA text sets out capitalisation rates by expenditure category to calculate estimates </t>
  </si>
  <si>
    <t>of operating expenditure.</t>
  </si>
  <si>
    <t xml:space="preserve">The DCUSA text specifies flags to identify if an expenditure category is "direct." The resulting "direct proportion" </t>
  </si>
  <si>
    <t>Extended network level allocation options (for data validation)</t>
  </si>
  <si>
    <t>The DCUSA text specifies losses coefficients for the calculation of units flowing.</t>
  </si>
  <si>
    <t>[enter data version name]</t>
  </si>
  <si>
    <t>[enter DNO comments, if any]</t>
  </si>
  <si>
    <t>CEPA-TNEI</t>
  </si>
  <si>
    <t>Paragraph 46</t>
  </si>
  <si>
    <t>Paragraph 26</t>
  </si>
  <si>
    <t>Paragraph 4 (e)</t>
  </si>
  <si>
    <t>Paragraph 7</t>
  </si>
  <si>
    <t>Paragraph 19</t>
  </si>
  <si>
    <t>Paragraph 21</t>
  </si>
  <si>
    <t>Paragraph 39</t>
  </si>
  <si>
    <t>Paragraph 8</t>
  </si>
  <si>
    <t>Paragraph 10</t>
  </si>
  <si>
    <t>Paragraph 11</t>
  </si>
  <si>
    <t>Paragraph 14</t>
  </si>
  <si>
    <t>Paragraph 15</t>
  </si>
  <si>
    <t>Paragraph 20</t>
  </si>
  <si>
    <t>Paragraph 22</t>
  </si>
  <si>
    <t>Paragraph 23</t>
  </si>
  <si>
    <t>Paragraph 27</t>
  </si>
  <si>
    <t>Paragraph 24</t>
  </si>
  <si>
    <t>Paragraph 28</t>
  </si>
  <si>
    <t>Paragraph 29</t>
  </si>
  <si>
    <t>Paragraph 32</t>
  </si>
  <si>
    <t>Paragraph 30</t>
  </si>
  <si>
    <t>Paragraph 31</t>
  </si>
  <si>
    <t>Paragraph 40</t>
  </si>
  <si>
    <t>Paragraph 42</t>
  </si>
  <si>
    <t>Paragraph 43</t>
  </si>
  <si>
    <t>Paragraph 44</t>
  </si>
  <si>
    <t>Paragraphs 6, 9  &amp; "Allocation rules" table</t>
  </si>
  <si>
    <t>Paragraphs 4 (c), 5 (c), 13, 14, 16, 17, 18</t>
  </si>
  <si>
    <t>Paragraphs 3 (a), 5 &amp; 20</t>
  </si>
  <si>
    <t>Paragraphs 4 (c), 5 (b) &amp; 23</t>
  </si>
  <si>
    <t>Paragraphs 4 (a), 5 (a) and 26</t>
  </si>
  <si>
    <t>Paragraphs 33, 34 &amp; 35</t>
  </si>
  <si>
    <t>Paragraphs 36 &amp; 37</t>
  </si>
  <si>
    <t>Paragraphs 4 (f) &amp; 8</t>
  </si>
  <si>
    <t>Paragraphs 4 (d) &amp; 5 (d)</t>
  </si>
  <si>
    <t>Paragraphs 4 (a) &amp; 5 (a)</t>
  </si>
  <si>
    <t>Paragraphs 4 (a), 5 (a) &amp; 6</t>
  </si>
  <si>
    <t>Paragraphs 4 (a), 4 (c), 5 (a), 5 (b) and 9</t>
  </si>
  <si>
    <t>Paragraphs 38 &amp; 39</t>
  </si>
  <si>
    <t>Paragraphs 6 &amp; 7</t>
  </si>
  <si>
    <t>Paragraphs 12 &amp; 21</t>
  </si>
  <si>
    <t>These user discounts are used on the "General inputs" sheet of the EDCM (LRIC) and EDCM (FCP) models.</t>
  </si>
  <si>
    <t>Interim release</t>
  </si>
  <si>
    <t>DCUSA text version</t>
  </si>
  <si>
    <t>DCUSA text schedule</t>
  </si>
  <si>
    <t>Total</t>
  </si>
  <si>
    <t>DCUSA text version:</t>
  </si>
  <si>
    <t>DCUSA text schedule:</t>
  </si>
  <si>
    <t>Input 401-A: Universal values</t>
  </si>
  <si>
    <t>Input 401-E: Allocation rules percentage capitalised</t>
  </si>
  <si>
    <t>Input 401-F: Allocation rules direct cost indicator</t>
  </si>
  <si>
    <t>Input 401-K: Network levels included in the calculation of "S", by user type and network level</t>
  </si>
  <si>
    <t>Input 402-A: LV mains split</t>
  </si>
  <si>
    <t>Input 402-B: HV split</t>
  </si>
  <si>
    <t>Input 402-C: CDCM notional asset values</t>
  </si>
  <si>
    <t>Input 402-D: EDCM notional asset value</t>
  </si>
  <si>
    <t>Input 402-E: MEAV asset count</t>
  </si>
  <si>
    <t>Input 402-F: MEAV per unit</t>
  </si>
  <si>
    <t>Input 402-G: 2007/08 RRP expenditure, by cost category</t>
  </si>
  <si>
    <t>Input 402-H: 2007/08 RRP expenditure, by network level and cost category</t>
  </si>
  <si>
    <t>Input 402-I: Adjusted 2007/08 load related new connections &amp; reinforcement (net of contributions)</t>
  </si>
  <si>
    <t>Input 402-J: Net capex (2005/06 to 2014/15)</t>
  </si>
  <si>
    <t>Input 402-K: LV services share of LV net capex</t>
  </si>
  <si>
    <t>Input 402-M: 2007/08 total allowed revenue</t>
  </si>
  <si>
    <t>Input 402-N: 2007/08 net incentive revenue</t>
  </si>
  <si>
    <t>Input 402-O: Additional DNO revenue</t>
  </si>
  <si>
    <t>Input 402-P: 2007/08 units distributed, by network level</t>
  </si>
  <si>
    <t>Input 402-Q: 2007/08 network losses</t>
  </si>
  <si>
    <t>Output 401-A: PCDM user discount for CDCM</t>
  </si>
  <si>
    <t>Output 401-B: PCDM user discount for EDCM</t>
  </si>
  <si>
    <t>Section 401-A: MEAV by asset type</t>
  </si>
  <si>
    <t>Section 402-C: Expenditure for allocation based on MEAV</t>
  </si>
  <si>
    <t>Section 402-D: MEAV allocation shares</t>
  </si>
  <si>
    <t>Section 402-E: Expenditure allocated based on MEAV</t>
  </si>
  <si>
    <t>Section 403-A: Total expenditure allocated</t>
  </si>
  <si>
    <t>Section 403-B: Share expensed</t>
  </si>
  <si>
    <t>Section 403-C: Value expensed</t>
  </si>
  <si>
    <t>Section 403-D: Expensed proportions</t>
  </si>
  <si>
    <t>Input 401-B: EDCM discount cap</t>
  </si>
  <si>
    <t>Input 401-C: Network length splits for EDCM</t>
  </si>
  <si>
    <t>Input 401-D: Allocation rules allocation key</t>
  </si>
  <si>
    <t>Section 404-B: Capitalised proportions (EDCM)</t>
  </si>
  <si>
    <t>Section 404-C: Capitalised proportions (CDCM)</t>
  </si>
  <si>
    <t>Section 405-A: Breakdown of allowed revenue</t>
  </si>
  <si>
    <t>Section 405-B: Share of allowed revenue by network level (EDCM)</t>
  </si>
  <si>
    <t>Section 405-C: Share of allowed revenue by network level (CDCM)</t>
  </si>
  <si>
    <t>Section 405-D: Revenue to share</t>
  </si>
  <si>
    <t>Section 405-E: Additional DNO revenue shares</t>
  </si>
  <si>
    <t>Section 405-F: Revenue allocation</t>
  </si>
  <si>
    <t>Section 405-G: Revenue allocation</t>
  </si>
  <si>
    <t>Section 405-H: Revenue per unit</t>
  </si>
  <si>
    <t>Section 405-I: Shares of revenue per unit</t>
  </si>
  <si>
    <t>Section 405-J: U</t>
  </si>
  <si>
    <t>Section 405-K: Extended network level allocation (EDCM only)</t>
  </si>
  <si>
    <t>Section 406-A: Removal of negative expenditure</t>
  </si>
  <si>
    <t>Section 406-B: Direct share of positive expenditure</t>
  </si>
  <si>
    <t>Section 407-B: S</t>
  </si>
  <si>
    <t>Section 407-C: P</t>
  </si>
  <si>
    <t>Section 407-D: P adder</t>
  </si>
  <si>
    <t>Section 407-E: U</t>
  </si>
  <si>
    <t>Section 407-F: EDCM user discounts (before cap)</t>
  </si>
  <si>
    <t>Section 407-G: EDCM user discounts</t>
  </si>
  <si>
    <t>Index of sheets and main sections</t>
  </si>
  <si>
    <t>Index of inputs, calculation sections and outputs</t>
  </si>
  <si>
    <t>Section 401-B: Mapping of asset types to network levels</t>
  </si>
  <si>
    <t>Section 407-A: Allocation percentages</t>
  </si>
  <si>
    <t>Inputs from DCUSA text</t>
  </si>
  <si>
    <t>Nominated Calculation Agent inputs</t>
  </si>
  <si>
    <t>DCUSA text outputs</t>
  </si>
  <si>
    <t>This sheet contains links to each sheet of the model and the main sections within them.</t>
  </si>
  <si>
    <t>It also contains links to more granular sections within the sheets for inputs, calculations and outputs.</t>
  </si>
  <si>
    <t>The following table provides links to each input, calculation and output section. Each has a unique identifier for ease of reference.</t>
  </si>
  <si>
    <t>Input 401-G: Mapping of MEAV asset categories to network levels</t>
  </si>
  <si>
    <t xml:space="preserve">This table sets out flags to explicitly show what network levels are assumed to be included in all-the-way tariffs for </t>
  </si>
  <si>
    <t>different users.</t>
  </si>
  <si>
    <t>This sheet contains inputs that are universal or set in the DCUSA text.</t>
  </si>
  <si>
    <t>This section contains input values drawn from the DCUSA text, which do not vary by DNO.</t>
  </si>
  <si>
    <t>specified in the DCUSA text.</t>
  </si>
  <si>
    <t>assets to network levels set out in the DCUSA text.</t>
  </si>
  <si>
    <t>CDCM user discounts are calculated using formulae set out in the DCUSA text.</t>
  </si>
  <si>
    <t>The outputs set out below are used as inputs to the DNO's CDCM and ECDM models in line with the DCUSA text.</t>
  </si>
  <si>
    <t>The Allocation rules table in the DCUSA text currently specifies one of three options to allocate expenditure between</t>
  </si>
  <si>
    <t>is used to split costs where the LDNO boundary is at a circuits level.</t>
  </si>
  <si>
    <t>The DCUSA text provides a mapping of 85 MEAV asset categories to one of five network levels.</t>
  </si>
  <si>
    <t>Mapping of MEAV asset categories to network levels</t>
  </si>
  <si>
    <t>Direct cost indicator, by cost category</t>
  </si>
  <si>
    <t xml:space="preserve">The DCUSA text provides an extended mapping of 85 MEAV asset categories to four EHV network levels for use in </t>
  </si>
  <si>
    <t>the calculation of EDCM discounts.</t>
  </si>
  <si>
    <t>Extended mapping of MEAV asset categories to network levels</t>
  </si>
  <si>
    <t>Input 401-H: Extended mapping of MEAV asset categories to network levels</t>
  </si>
  <si>
    <t>Input 401-I: Units distributed coefficient for the calculation of "U"</t>
  </si>
  <si>
    <t>The DCUSA text specifies coefficients to calculate a variable named "U" as part of the calculation of units flowing.</t>
  </si>
  <si>
    <t>Units distributed coefficient for the calculation of "U", by network level</t>
  </si>
  <si>
    <t>Input 401-J: Losses coefficient for the calculation of adjustment factors for units distributed</t>
  </si>
  <si>
    <t>Losses coefficient for the calculation of adjustment factors for units distributed, by network level</t>
  </si>
  <si>
    <t>This section contains other DNO-specific inputs.</t>
  </si>
  <si>
    <t>are provided as km rather than asset counts.</t>
  </si>
  <si>
    <t xml:space="preserve">The DNO provides expenditure values split by network level for the following 33 cost categories using </t>
  </si>
  <si>
    <t>2007/08 RRP data.</t>
  </si>
  <si>
    <t>Input 402-L: Price control allowed revenue</t>
  </si>
  <si>
    <t>The input reference for the EDCM (LRIC) model is Input 202-G; it is Input 302-G for the EDCM (FCP) model.</t>
  </si>
  <si>
    <t>The output reference for the EDCM (LRIC) model is Output 207-B; it is Output 307-B for the EDCM (FCP) model.</t>
  </si>
  <si>
    <t>The DNO provides per unit modern equivalent asset values (MEAV) for each of the following 85 asset types.</t>
  </si>
  <si>
    <t xml:space="preserve">The DNO provides asset counts for each of the following 85 asset types. Where noted in the label, values </t>
  </si>
  <si>
    <t>Section 401-E: EHV reduction ratio</t>
  </si>
  <si>
    <t>Section 401-F: Adjusted MEAV</t>
  </si>
  <si>
    <t>Section 401-C: MEAV shares, by asset type and network level</t>
  </si>
  <si>
    <t>Section 401-D: MEAV shares from extended mapping, by asset type and network level</t>
  </si>
  <si>
    <t>Section 402-A: Expenditure allocated to cost category based on RRP (without LV split)</t>
  </si>
  <si>
    <t>Section 402-B: Expenditure allocated to cost category based on RRP (with LV split)</t>
  </si>
  <si>
    <t>Expenditure allocated to cost category based on RRP (with LV split), by network level</t>
  </si>
  <si>
    <t xml:space="preserve">Expenditure allocated to network levels based on RRP data and using MEAV are combined. CDCM and EDCM discounts </t>
  </si>
  <si>
    <t>Section 404-A: Net capex (2005/06 to 2014/15)</t>
  </si>
  <si>
    <t>Units flowing through each network level (loss-adjusted to LV) are calculated for the rescaling of revenue allocations.</t>
  </si>
  <si>
    <t>Section 408-C: PCDM user discounts for CDCM</t>
  </si>
  <si>
    <t>Section 408-A: Allocation percentages</t>
  </si>
  <si>
    <t>Section 408-B: Parameters for splitting allocations at circuits levels</t>
  </si>
  <si>
    <t>The DNO provides the value of the net amount earned under price control financial incentive schemes in 2007/08.</t>
  </si>
  <si>
    <t>The CDCM output reference is Output 102-A.</t>
  </si>
  <si>
    <t>These user discounts are used as Input 104-B on the "General inputs" sheet of the CDCM.</t>
  </si>
  <si>
    <t>© All rights reserved by Cambridge Economic Policy Associates Ltd (CEPA) and TNEI Services Ltd (TNEI).</t>
  </si>
  <si>
    <t>Pre-release</t>
  </si>
  <si>
    <t>Schedule 29</t>
  </si>
  <si>
    <t>The calculations on this sheet relate to Schedule 29 paragraphs 7, 8, 38 and 39.</t>
  </si>
  <si>
    <t>The calculations on this sheet relate to Schedule 29 paragraphs 6, 7 and 9 and the "Allocation rules" table.</t>
  </si>
  <si>
    <t>The calculations on this sheet relate to Schedule 29 paragraphs 10 and 11.</t>
  </si>
  <si>
    <t>The calculations on this sheet relate to Schedule 29 paragraphs 14, 15 and 19.</t>
  </si>
  <si>
    <t>The calculations on this sheet relate to Schedule 29 paragraphs 12, 20-23, 26-28, 39 and 46.</t>
  </si>
  <si>
    <t>The calculations on this sheet relate to Schedule 29 paragraphs 29-32.</t>
  </si>
  <si>
    <t>This sheet calculates EDCM user discounts. The calculations on this sheet relate to Schedule 29 paragraph 46.</t>
  </si>
  <si>
    <t>This sheet calculates CDCM user discounts. The calculations on this sheet relate to Schedule 29 paragraphs 40 and 42-44.</t>
  </si>
  <si>
    <t>DCUSA v10.3 (released 28/06/2018)</t>
  </si>
  <si>
    <t>References to DCUSA text updated to comply with version 10.3 (released 28/06/2018).</t>
  </si>
  <si>
    <t>LV Services</t>
  </si>
  <si>
    <t>LV Services allocation option name</t>
  </si>
  <si>
    <t>Non activity costs and reconciling amounts - Other costs</t>
  </si>
  <si>
    <t>Non activity costs and reconciling amounts - Ofgem licence fees</t>
  </si>
  <si>
    <t>LV Services allocation flag</t>
  </si>
  <si>
    <t>Section 402-G: Total expenditure allocated for discounts</t>
  </si>
  <si>
    <t>Section 402-F: Expenditure allocated to LV Services</t>
  </si>
  <si>
    <t>DCUSA v10.3 (released 28/06/2018) + DCP 306</t>
  </si>
  <si>
    <t>Allocation to LV Services</t>
  </si>
  <si>
    <t>Certain categories of expenditure are allocated directly to the LV Services network level.</t>
  </si>
  <si>
    <t>Expenditure to be allocated to LV Services</t>
  </si>
  <si>
    <t>Check for double allocation of expenditure to LV services</t>
  </si>
  <si>
    <t>Paragraph 6 &amp; Paragraph 11A</t>
  </si>
  <si>
    <t>Release for charge setting</t>
  </si>
  <si>
    <t>Model number:</t>
  </si>
  <si>
    <t>01 April 2020 DCUSA Charging Methodologies Pre-Release (released 09/10/2018)</t>
  </si>
  <si>
    <t>Model number</t>
  </si>
  <si>
    <t>Updated references to legal text version.</t>
  </si>
  <si>
    <t>Updated for DCP 306.</t>
  </si>
  <si>
    <t>Neither the authors nor Cambridge Economic Policy Associates/TNEI accept or assume any responsibility or duty of care to any third party.</t>
  </si>
  <si>
    <t>Release for 2021/22 charge setting</t>
  </si>
  <si>
    <t>Attachment A_01 April 2021 Charging Methodologies Pre-Release_Issued October 2019 (shared 10/10/2019)</t>
  </si>
  <si>
    <t>Expensed and capitalised proportions are used to allocate components of allowed revenue to network levels.</t>
  </si>
  <si>
    <t>[Enter DNO name]</t>
  </si>
  <si>
    <t>Difference between CDCM and EDCM costs not capitalised</t>
  </si>
  <si>
    <t>Difference in MEAV value before and after allocation to levels</t>
  </si>
  <si>
    <t>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</si>
</sst>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F800]dddd\,\ mmmm\ dd\,\ yyyy"/>
    <numFmt numFmtId="169" formatCode="#,##0.00;\-#,##0.00;\-"/>
    <numFmt numFmtId="170" formatCode="#,##0;\-#,##0;\-"/>
    <numFmt numFmtId="171" formatCode="0.00000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2"/>
      <color rgb="FF27519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3" tint="-0.2499465926084170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Up">
        <fgColor theme="0" tint="-0.499984740745262"/>
        <bgColor rgb="FFFFFFFF"/>
      </patternFill>
    </fill>
    <fill>
      <patternFill patternType="solid">
        <fgColor rgb="FF4B86CD"/>
        <bgColor indexed="64"/>
      </patternFill>
    </fill>
    <fill>
      <patternFill patternType="solid">
        <fgColor rgb="FF27579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9C9C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FFFFFF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5">
    <xf numFmtId="0" fontId="0" fillId="0" borderId="0"/>
    <xf numFmtId="0" fontId="4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3" applyNumberFormat="0" applyBorder="0" applyAlignment="0">
      <alignment vertical="center"/>
    </xf>
    <xf numFmtId="49" fontId="8" fillId="4" borderId="0" applyNumberFormat="0" applyBorder="0" applyAlignment="0">
      <alignment horizontal="left" vertical="center" wrapText="1"/>
    </xf>
    <xf numFmtId="168" fontId="1" fillId="0" borderId="0" applyNumberFormat="0" applyFont="0" applyBorder="0" applyAlignment="0"/>
    <xf numFmtId="0" fontId="30" fillId="0" borderId="0" applyNumberFormat="0" applyFill="0" applyBorder="0" applyAlignment="0"/>
    <xf numFmtId="0" fontId="31" fillId="0" borderId="0" applyNumberFormat="0" applyFill="0" applyBorder="0" applyAlignment="0"/>
    <xf numFmtId="168" fontId="6" fillId="0" borderId="0" applyNumberFormat="0" applyBorder="0" applyAlignment="0"/>
    <xf numFmtId="0" fontId="8" fillId="5" borderId="0" applyNumberFormat="0" applyBorder="0" applyAlignment="0"/>
    <xf numFmtId="0" fontId="14" fillId="0" borderId="0" applyNumberFormat="0" applyFill="0" applyBorder="0" applyAlignment="0"/>
    <xf numFmtId="0" fontId="12" fillId="6" borderId="0" applyBorder="0" applyAlignment="0"/>
    <xf numFmtId="0" fontId="1" fillId="2" borderId="3" applyNumberFormat="0" applyBorder="0" applyAlignment="0" applyProtection="0"/>
    <xf numFmtId="0" fontId="1" fillId="46" borderId="0" applyNumberFormat="0" applyBorder="0" applyAlignment="0" applyProtection="0">
      <alignment horizontal="center"/>
    </xf>
    <xf numFmtId="3" fontId="7" fillId="0" borderId="0" applyNumberFormat="0" applyBorder="0" applyAlignment="0">
      <alignment horizontal="right" vertical="top"/>
    </xf>
    <xf numFmtId="0" fontId="1" fillId="0" borderId="0" applyNumberFormat="0" applyFill="0" applyBorder="0" applyAlignment="0">
      <alignment horizontal="left"/>
    </xf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7" applyNumberFormat="0" applyAlignment="0" applyProtection="0"/>
    <xf numFmtId="0" fontId="24" fillId="11" borderId="8" applyNumberFormat="0" applyAlignment="0" applyProtection="0"/>
    <xf numFmtId="0" fontId="25" fillId="11" borderId="7" applyNumberFormat="0" applyAlignment="0" applyProtection="0"/>
    <xf numFmtId="0" fontId="26" fillId="0" borderId="9" applyNumberFormat="0" applyFill="0" applyAlignment="0" applyProtection="0"/>
    <xf numFmtId="0" fontId="8" fillId="12" borderId="10" applyNumberFormat="0" applyAlignment="0" applyProtection="0"/>
    <xf numFmtId="0" fontId="27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28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" fillId="0" borderId="0" applyNumberFormat="0" applyFill="0" applyBorder="0" applyAlignment="0"/>
    <xf numFmtId="0" fontId="1" fillId="44" borderId="0" applyNumberFormat="0" applyFont="0" applyBorder="0" applyAlignment="0"/>
    <xf numFmtId="0" fontId="15" fillId="0" borderId="0" applyNumberFormat="0" applyFill="0" applyBorder="0" applyAlignment="0"/>
  </cellStyleXfs>
  <cellXfs count="232">
    <xf numFmtId="0" fontId="0" fillId="0" borderId="0" xfId="0"/>
    <xf numFmtId="0" fontId="0" fillId="0" borderId="0" xfId="0"/>
    <xf numFmtId="0" fontId="8" fillId="5" borderId="0" xfId="10"/>
    <xf numFmtId="0" fontId="8" fillId="4" borderId="0" xfId="5" applyNumberFormat="1" applyAlignment="1"/>
    <xf numFmtId="0" fontId="9" fillId="4" borderId="0" xfId="5" applyNumberFormat="1" applyFont="1" applyAlignment="1"/>
    <xf numFmtId="0" fontId="14" fillId="0" borderId="0" xfId="11"/>
    <xf numFmtId="0" fontId="8" fillId="4" borderId="0" xfId="5" applyNumberFormat="1" applyBorder="1" applyAlignment="1"/>
    <xf numFmtId="0" fontId="4" fillId="0" borderId="0" xfId="62"/>
    <xf numFmtId="0" fontId="4" fillId="38" borderId="13" xfId="62" quotePrefix="1" applyFill="1" applyBorder="1"/>
    <xf numFmtId="0" fontId="4" fillId="38" borderId="0" xfId="62" quotePrefix="1" applyFill="1"/>
    <xf numFmtId="0" fontId="4" fillId="39" borderId="13" xfId="62" quotePrefix="1" applyFill="1" applyBorder="1"/>
    <xf numFmtId="0" fontId="4" fillId="39" borderId="0" xfId="62" quotePrefix="1" applyFill="1"/>
    <xf numFmtId="0" fontId="4" fillId="6" borderId="13" xfId="62" quotePrefix="1" applyFill="1" applyBorder="1"/>
    <xf numFmtId="0" fontId="4" fillId="6" borderId="0" xfId="62" quotePrefix="1" applyFill="1"/>
    <xf numFmtId="0" fontId="4" fillId="40" borderId="13" xfId="62" quotePrefix="1" applyFill="1" applyBorder="1"/>
    <xf numFmtId="0" fontId="8" fillId="4" borderId="15" xfId="5" applyNumberFormat="1" applyBorder="1" applyAlignment="1"/>
    <xf numFmtId="0" fontId="4" fillId="40" borderId="0" xfId="62" quotePrefix="1" applyFill="1"/>
    <xf numFmtId="0" fontId="0" fillId="0" borderId="0" xfId="0"/>
    <xf numFmtId="168" fontId="1" fillId="2" borderId="0" xfId="13" applyNumberFormat="1" applyBorder="1" applyAlignment="1" applyProtection="1">
      <alignment horizontal="left" vertical="top" wrapText="1"/>
      <protection locked="0"/>
    </xf>
    <xf numFmtId="0" fontId="1" fillId="46" borderId="0" xfId="14" applyBorder="1" applyAlignment="1" applyProtection="1">
      <protection locked="0"/>
    </xf>
    <xf numFmtId="0" fontId="1" fillId="2" borderId="0" xfId="13" applyBorder="1" applyProtection="1">
      <protection locked="0"/>
    </xf>
    <xf numFmtId="0" fontId="1" fillId="44" borderId="0" xfId="13" applyFill="1" applyBorder="1" applyProtection="1">
      <protection locked="0"/>
    </xf>
    <xf numFmtId="1" fontId="1" fillId="2" borderId="0" xfId="13" applyNumberFormat="1" applyBorder="1" applyAlignment="1" applyProtection="1">
      <alignment horizontal="left" vertical="top" wrapText="1"/>
      <protection locked="0"/>
    </xf>
    <xf numFmtId="169" fontId="1" fillId="46" borderId="0" xfId="14" applyNumberFormat="1" applyBorder="1" applyAlignment="1" applyProtection="1">
      <alignment horizontal="right"/>
      <protection locked="0"/>
    </xf>
    <xf numFmtId="10" fontId="1" fillId="46" borderId="0" xfId="14" applyNumberFormat="1" applyBorder="1" applyAlignment="1" applyProtection="1">
      <alignment horizontal="right"/>
      <protection locked="0"/>
    </xf>
    <xf numFmtId="169" fontId="1" fillId="46" borderId="19" xfId="14" applyNumberFormat="1" applyBorder="1" applyAlignment="1" applyProtection="1">
      <alignment horizontal="right"/>
      <protection locked="0"/>
    </xf>
    <xf numFmtId="4" fontId="1" fillId="46" borderId="0" xfId="14" applyNumberFormat="1" applyBorder="1" applyAlignment="1" applyProtection="1">
      <alignment horizontal="right"/>
      <protection locked="0"/>
    </xf>
    <xf numFmtId="4" fontId="1" fillId="46" borderId="20" xfId="14" applyNumberFormat="1" applyBorder="1" applyAlignment="1" applyProtection="1">
      <alignment horizontal="right"/>
      <protection locked="0"/>
    </xf>
    <xf numFmtId="10" fontId="1" fillId="46" borderId="19" xfId="14" applyNumberFormat="1" applyBorder="1" applyAlignment="1" applyProtection="1">
      <alignment horizontal="right"/>
      <protection locked="0"/>
    </xf>
    <xf numFmtId="10" fontId="1" fillId="46" borderId="20" xfId="14" applyNumberFormat="1" applyBorder="1" applyAlignment="1" applyProtection="1">
      <alignment horizontal="right"/>
      <protection locked="0"/>
    </xf>
    <xf numFmtId="1" fontId="1" fillId="46" borderId="19" xfId="14" applyNumberFormat="1" applyBorder="1" applyAlignment="1" applyProtection="1">
      <alignment horizontal="right"/>
      <protection locked="0"/>
    </xf>
    <xf numFmtId="1" fontId="1" fillId="46" borderId="20" xfId="14" applyNumberFormat="1" applyBorder="1" applyAlignment="1" applyProtection="1">
      <alignment horizontal="right"/>
      <protection locked="0"/>
    </xf>
    <xf numFmtId="1" fontId="1" fillId="46" borderId="0" xfId="14" applyNumberFormat="1" applyBorder="1" applyAlignment="1" applyProtection="1">
      <alignment horizontal="right"/>
      <protection locked="0"/>
    </xf>
    <xf numFmtId="4" fontId="1" fillId="46" borderId="19" xfId="14" applyNumberFormat="1" applyBorder="1" applyAlignment="1" applyProtection="1">
      <alignment horizontal="right"/>
      <protection locked="0"/>
    </xf>
    <xf numFmtId="1" fontId="1" fillId="46" borderId="2" xfId="14" applyNumberFormat="1" applyBorder="1" applyAlignment="1" applyProtection="1">
      <alignment horizontal="right"/>
      <protection locked="0"/>
    </xf>
    <xf numFmtId="10" fontId="1" fillId="2" borderId="0" xfId="13" applyNumberFormat="1" applyBorder="1" applyAlignment="1" applyProtection="1">
      <alignment horizontal="right"/>
      <protection locked="0"/>
    </xf>
    <xf numFmtId="169" fontId="1" fillId="2" borderId="19" xfId="13" applyNumberFormat="1" applyBorder="1" applyAlignment="1" applyProtection="1">
      <alignment horizontal="right"/>
      <protection locked="0"/>
    </xf>
    <xf numFmtId="169" fontId="1" fillId="2" borderId="0" xfId="13" applyNumberFormat="1" applyBorder="1" applyAlignment="1" applyProtection="1">
      <alignment horizontal="right"/>
      <protection locked="0"/>
    </xf>
    <xf numFmtId="169" fontId="1" fillId="2" borderId="20" xfId="13" applyNumberFormat="1" applyBorder="1" applyAlignment="1" applyProtection="1">
      <alignment horizontal="right"/>
      <protection locked="0"/>
    </xf>
    <xf numFmtId="169" fontId="1" fillId="2" borderId="2" xfId="13" applyNumberFormat="1" applyBorder="1" applyAlignment="1" applyProtection="1">
      <alignment horizontal="right"/>
      <protection locked="0"/>
    </xf>
    <xf numFmtId="10" fontId="1" fillId="46" borderId="2" xfId="14" applyNumberFormat="1" applyBorder="1" applyAlignment="1" applyProtection="1">
      <alignment horizontal="right"/>
      <protection locked="0"/>
    </xf>
    <xf numFmtId="169" fontId="1" fillId="46" borderId="2" xfId="14" applyNumberFormat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/>
    </xf>
    <xf numFmtId="168" fontId="31" fillId="0" borderId="0" xfId="8" applyNumberFormat="1" applyAlignment="1" applyProtection="1">
      <alignment horizontal="left"/>
    </xf>
    <xf numFmtId="0" fontId="31" fillId="0" borderId="0" xfId="8" applyAlignment="1" applyProtection="1">
      <alignment horizontal="left"/>
    </xf>
    <xf numFmtId="0" fontId="1" fillId="0" borderId="0" xfId="16" applyFill="1" applyAlignment="1" applyProtection="1">
      <alignment vertical="top" wrapText="1"/>
    </xf>
    <xf numFmtId="0" fontId="8" fillId="4" borderId="0" xfId="5" applyNumberFormat="1" applyAlignment="1" applyProtection="1">
      <alignment horizontal="left"/>
    </xf>
    <xf numFmtId="0" fontId="8" fillId="4" borderId="0" xfId="5" applyNumberFormat="1" applyBorder="1" applyAlignment="1" applyProtection="1"/>
    <xf numFmtId="0" fontId="1" fillId="3" borderId="1" xfId="4" applyBorder="1" applyAlignment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7" fillId="0" borderId="0" xfId="15" applyNumberFormat="1" applyBorder="1" applyAlignment="1" applyProtection="1"/>
    <xf numFmtId="0" fontId="31" fillId="0" borderId="0" xfId="8" applyBorder="1" applyProtection="1"/>
    <xf numFmtId="0" fontId="30" fillId="0" borderId="0" xfId="7" applyBorder="1" applyProtection="1"/>
    <xf numFmtId="0" fontId="7" fillId="0" borderId="14" xfId="15" applyNumberFormat="1" applyBorder="1" applyAlignment="1" applyProtection="1"/>
    <xf numFmtId="0" fontId="1" fillId="0" borderId="0" xfId="16" applyBorder="1" applyAlignment="1" applyProtection="1"/>
    <xf numFmtId="0" fontId="14" fillId="0" borderId="0" xfId="11" applyBorder="1" applyProtection="1"/>
    <xf numFmtId="0" fontId="8" fillId="5" borderId="0" xfId="10" applyBorder="1" applyProtection="1"/>
    <xf numFmtId="0" fontId="12" fillId="6" borderId="0" xfId="12" applyBorder="1" applyProtection="1"/>
    <xf numFmtId="0" fontId="6" fillId="0" borderId="0" xfId="9" applyNumberFormat="1" applyBorder="1" applyProtection="1"/>
    <xf numFmtId="0" fontId="0" fillId="41" borderId="0" xfId="0" applyFill="1" applyBorder="1" applyProtection="1"/>
    <xf numFmtId="0" fontId="0" fillId="43" borderId="0" xfId="0" applyFill="1" applyBorder="1" applyProtection="1"/>
    <xf numFmtId="0" fontId="0" fillId="42" borderId="0" xfId="0" applyFill="1" applyBorder="1" applyProtection="1"/>
    <xf numFmtId="0" fontId="0" fillId="45" borderId="2" xfId="0" applyFill="1" applyBorder="1" applyProtection="1"/>
    <xf numFmtId="0" fontId="0" fillId="0" borderId="2" xfId="0" applyBorder="1" applyProtection="1"/>
    <xf numFmtId="0" fontId="0" fillId="0" borderId="2" xfId="0" applyFill="1" applyBorder="1" applyProtection="1"/>
    <xf numFmtId="168" fontId="8" fillId="4" borderId="0" xfId="5" applyNumberFormat="1" applyAlignment="1" applyProtection="1"/>
    <xf numFmtId="168" fontId="9" fillId="4" borderId="0" xfId="5" applyNumberFormat="1" applyFont="1" applyAlignment="1" applyProtection="1"/>
    <xf numFmtId="0" fontId="32" fillId="0" borderId="0" xfId="0" applyNumberFormat="1" applyFont="1" applyBorder="1" applyAlignment="1" applyProtection="1">
      <alignment horizontal="left" indent="1"/>
    </xf>
    <xf numFmtId="0" fontId="0" fillId="0" borderId="0" xfId="0" applyNumberForma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right"/>
    </xf>
    <xf numFmtId="0" fontId="0" fillId="0" borderId="0" xfId="0" applyFont="1" applyAlignment="1" applyProtection="1">
      <alignment vertical="center"/>
    </xf>
    <xf numFmtId="168" fontId="8" fillId="5" borderId="0" xfId="10" applyNumberFormat="1" applyAlignment="1" applyProtection="1">
      <alignment vertical="center"/>
    </xf>
    <xf numFmtId="168" fontId="8" fillId="5" borderId="0" xfId="10" applyNumberForma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168" fontId="30" fillId="0" borderId="0" xfId="7" applyNumberFormat="1" applyBorder="1" applyAlignment="1" applyProtection="1">
      <alignment horizontal="left" vertical="center" wrapText="1"/>
    </xf>
    <xf numFmtId="3" fontId="30" fillId="0" borderId="0" xfId="7" applyNumberFormat="1" applyBorder="1" applyAlignment="1" applyProtection="1">
      <alignment horizontal="left" vertical="center" wrapText="1"/>
    </xf>
    <xf numFmtId="168" fontId="30" fillId="0" borderId="0" xfId="7" applyNumberFormat="1" applyBorder="1" applyAlignment="1" applyProtection="1">
      <alignment horizontal="left" vertical="center"/>
    </xf>
    <xf numFmtId="168" fontId="0" fillId="0" borderId="0" xfId="0" applyNumberFormat="1" applyFont="1" applyAlignment="1" applyProtection="1">
      <alignment vertical="center"/>
    </xf>
    <xf numFmtId="0" fontId="8" fillId="5" borderId="0" xfId="10" applyProtection="1"/>
    <xf numFmtId="168" fontId="8" fillId="4" borderId="0" xfId="5" applyNumberFormat="1" applyAlignment="1" applyProtection="1">
      <alignment vertical="center" wrapText="1"/>
    </xf>
    <xf numFmtId="168" fontId="8" fillId="4" borderId="0" xfId="5" applyNumberFormat="1" applyAlignment="1" applyProtection="1">
      <alignment vertical="center"/>
    </xf>
    <xf numFmtId="168" fontId="6" fillId="0" borderId="0" xfId="9" applyProtection="1"/>
    <xf numFmtId="0" fontId="0" fillId="0" borderId="1" xfId="0" applyFill="1" applyBorder="1" applyProtection="1"/>
    <xf numFmtId="3" fontId="31" fillId="0" borderId="1" xfId="8" applyNumberFormat="1" applyBorder="1" applyProtection="1"/>
    <xf numFmtId="3" fontId="31" fillId="0" borderId="0" xfId="8" applyNumberFormat="1" applyBorder="1" applyProtection="1"/>
    <xf numFmtId="3" fontId="31" fillId="0" borderId="2" xfId="8" applyNumberFormat="1" applyBorder="1" applyProtection="1"/>
    <xf numFmtId="0" fontId="0" fillId="0" borderId="18" xfId="0" applyBorder="1" applyProtection="1"/>
    <xf numFmtId="3" fontId="7" fillId="0" borderId="18" xfId="15" applyNumberFormat="1" applyBorder="1" applyAlignment="1" applyProtection="1"/>
    <xf numFmtId="3" fontId="0" fillId="0" borderId="0" xfId="0" applyNumberFormat="1" applyBorder="1" applyProtection="1"/>
    <xf numFmtId="0" fontId="8" fillId="4" borderId="0" xfId="5" applyNumberFormat="1" applyAlignment="1" applyProtection="1"/>
    <xf numFmtId="0" fontId="9" fillId="4" borderId="0" xfId="5" applyNumberFormat="1" applyFont="1" applyAlignment="1" applyProtection="1"/>
    <xf numFmtId="0" fontId="8" fillId="4" borderId="0" xfId="5" applyNumberFormat="1" applyBorder="1" applyAlignment="1" applyProtection="1">
      <alignment horizontal="left"/>
    </xf>
    <xf numFmtId="0" fontId="8" fillId="4" borderId="0" xfId="5" applyNumberFormat="1" applyBorder="1" applyAlignment="1" applyProtection="1">
      <alignment horizontal="right"/>
    </xf>
    <xf numFmtId="0" fontId="9" fillId="4" borderId="0" xfId="5" applyNumberFormat="1" applyFont="1" applyAlignment="1" applyProtection="1">
      <alignment horizontal="left"/>
    </xf>
    <xf numFmtId="0" fontId="9" fillId="4" borderId="0" xfId="5" applyNumberFormat="1" applyFont="1" applyBorder="1" applyAlignment="1" applyProtection="1">
      <alignment horizontal="left"/>
    </xf>
    <xf numFmtId="0" fontId="9" fillId="4" borderId="0" xfId="5" applyNumberFormat="1" applyFont="1" applyBorder="1" applyAlignment="1" applyProtection="1">
      <alignment horizontal="right"/>
    </xf>
    <xf numFmtId="0" fontId="0" fillId="0" borderId="0" xfId="0" applyNumberFormat="1" applyAlignment="1" applyProtection="1">
      <alignment horizontal="left"/>
    </xf>
    <xf numFmtId="0" fontId="13" fillId="4" borderId="0" xfId="5" applyNumberFormat="1" applyFont="1" applyAlignment="1" applyProtection="1">
      <alignment horizontal="left" vertical="center"/>
    </xf>
    <xf numFmtId="0" fontId="8" fillId="4" borderId="0" xfId="5" applyNumberFormat="1" applyAlignment="1" applyProtection="1">
      <alignment horizontal="left" vertical="center"/>
    </xf>
    <xf numFmtId="0" fontId="8" fillId="4" borderId="0" xfId="5" applyNumberFormat="1" applyAlignment="1" applyProtection="1">
      <alignment horizontal="right" vertical="center" wrapText="1"/>
    </xf>
    <xf numFmtId="0" fontId="0" fillId="0" borderId="0" xfId="0" applyNumberFormat="1" applyAlignment="1" applyProtection="1">
      <alignment horizontal="right" wrapText="1"/>
    </xf>
    <xf numFmtId="0" fontId="8" fillId="4" borderId="0" xfId="5" applyNumberFormat="1" applyAlignment="1" applyProtection="1">
      <alignment horizontal="left" vertical="center" wrapText="1"/>
    </xf>
    <xf numFmtId="0" fontId="8" fillId="5" borderId="0" xfId="10" applyNumberFormat="1" applyAlignment="1" applyProtection="1">
      <alignment horizontal="left"/>
    </xf>
    <xf numFmtId="0" fontId="8" fillId="5" borderId="0" xfId="10" applyNumberFormat="1" applyAlignment="1" applyProtection="1">
      <alignment horizontal="right"/>
    </xf>
    <xf numFmtId="0" fontId="14" fillId="0" borderId="0" xfId="11" applyNumberFormat="1" applyBorder="1" applyAlignment="1" applyProtection="1">
      <alignment horizontal="left"/>
    </xf>
    <xf numFmtId="0" fontId="12" fillId="6" borderId="0" xfId="12" applyNumberFormat="1" applyAlignment="1" applyProtection="1">
      <alignment horizontal="left"/>
    </xf>
    <xf numFmtId="0" fontId="12" fillId="6" borderId="0" xfId="12" applyNumberFormat="1" applyAlignment="1" applyProtection="1">
      <alignment horizontal="right"/>
    </xf>
    <xf numFmtId="0" fontId="6" fillId="0" borderId="0" xfId="9" applyNumberFormat="1" applyBorder="1" applyAlignment="1" applyProtection="1">
      <alignment horizontal="left"/>
    </xf>
    <xf numFmtId="0" fontId="1" fillId="0" borderId="19" xfId="16" applyNumberFormat="1" applyBorder="1" applyAlignment="1" applyProtection="1">
      <alignment horizontal="left"/>
    </xf>
    <xf numFmtId="10" fontId="7" fillId="44" borderId="19" xfId="63" applyNumberFormat="1" applyFon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/>
    </xf>
    <xf numFmtId="10" fontId="7" fillId="44" borderId="0" xfId="63" applyNumberFormat="1" applyFont="1" applyBorder="1" applyAlignment="1" applyProtection="1">
      <alignment horizontal="right"/>
    </xf>
    <xf numFmtId="0" fontId="1" fillId="0" borderId="20" xfId="16" applyNumberFormat="1" applyBorder="1" applyAlignment="1" applyProtection="1">
      <alignment horizontal="left"/>
    </xf>
    <xf numFmtId="10" fontId="7" fillId="44" borderId="20" xfId="63" applyNumberFormat="1" applyFont="1" applyBorder="1" applyAlignment="1" applyProtection="1">
      <alignment horizontal="right"/>
    </xf>
    <xf numFmtId="0" fontId="6" fillId="0" borderId="0" xfId="9" applyNumberFormat="1" applyAlignment="1" applyProtection="1">
      <alignment horizontal="left"/>
    </xf>
    <xf numFmtId="0" fontId="1" fillId="0" borderId="0" xfId="16" applyNumberFormat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0" fontId="1" fillId="0" borderId="0" xfId="16" applyNumberFormat="1" applyFill="1" applyBorder="1" applyAlignment="1" applyProtection="1">
      <alignment horizontal="left"/>
    </xf>
    <xf numFmtId="0" fontId="7" fillId="0" borderId="0" xfId="63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Protection="1"/>
    <xf numFmtId="0" fontId="8" fillId="4" borderId="0" xfId="5" applyNumberFormat="1" applyAlignment="1" applyProtection="1">
      <alignment horizontal="right" vertical="center"/>
    </xf>
    <xf numFmtId="0" fontId="0" fillId="0" borderId="0" xfId="0" applyNumberFormat="1" applyAlignment="1" applyProtection="1">
      <alignment horizontal="right"/>
    </xf>
    <xf numFmtId="169" fontId="0" fillId="0" borderId="0" xfId="0" applyNumberFormat="1" applyBorder="1" applyAlignment="1" applyProtection="1">
      <alignment horizontal="right"/>
    </xf>
    <xf numFmtId="10" fontId="1" fillId="0" borderId="0" xfId="16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right"/>
    </xf>
    <xf numFmtId="169" fontId="1" fillId="3" borderId="19" xfId="4" applyNumberFormat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right"/>
    </xf>
    <xf numFmtId="10" fontId="0" fillId="0" borderId="0" xfId="0" applyNumberForma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4" fontId="1" fillId="3" borderId="20" xfId="4" applyNumberFormat="1" applyBorder="1" applyAlignment="1" applyProtection="1">
      <alignment horizontal="right"/>
    </xf>
    <xf numFmtId="1" fontId="0" fillId="0" borderId="19" xfId="0" applyNumberFormat="1" applyBorder="1" applyAlignment="1" applyProtection="1">
      <alignment horizontal="right"/>
    </xf>
    <xf numFmtId="1" fontId="1" fillId="3" borderId="0" xfId="4" applyNumberFormat="1" applyBorder="1" applyAlignment="1" applyProtection="1">
      <alignment horizontal="right"/>
    </xf>
    <xf numFmtId="1" fontId="0" fillId="0" borderId="20" xfId="0" applyNumberFormat="1" applyBorder="1" applyAlignment="1" applyProtection="1">
      <alignment horizontal="right"/>
    </xf>
    <xf numFmtId="1" fontId="0" fillId="0" borderId="2" xfId="0" applyNumberFormat="1" applyBorder="1" applyAlignment="1" applyProtection="1">
      <alignment horizontal="right"/>
    </xf>
    <xf numFmtId="1" fontId="1" fillId="3" borderId="2" xfId="4" applyNumberFormat="1" applyBorder="1" applyAlignment="1" applyProtection="1">
      <alignment horizontal="right"/>
    </xf>
    <xf numFmtId="169" fontId="1" fillId="0" borderId="0" xfId="16" applyNumberFormat="1" applyBorder="1" applyAlignment="1" applyProtection="1">
      <alignment horizontal="right"/>
    </xf>
    <xf numFmtId="0" fontId="1" fillId="0" borderId="0" xfId="16" quotePrefix="1" applyNumberFormat="1" applyBorder="1" applyAlignment="1" applyProtection="1">
      <alignment horizontal="left"/>
    </xf>
    <xf numFmtId="169" fontId="0" fillId="0" borderId="19" xfId="0" applyNumberFormat="1" applyBorder="1" applyAlignment="1" applyProtection="1">
      <alignment horizontal="right"/>
    </xf>
    <xf numFmtId="169" fontId="0" fillId="0" borderId="20" xfId="0" applyNumberFormat="1" applyBorder="1" applyAlignment="1" applyProtection="1">
      <alignment horizontal="right"/>
    </xf>
    <xf numFmtId="169" fontId="0" fillId="0" borderId="2" xfId="0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wrapText="1"/>
    </xf>
    <xf numFmtId="10" fontId="0" fillId="0" borderId="19" xfId="0" applyNumberFormat="1" applyBorder="1" applyAlignment="1" applyProtection="1">
      <alignment horizontal="right"/>
    </xf>
    <xf numFmtId="10" fontId="0" fillId="0" borderId="20" xfId="0" applyNumberFormat="1" applyBorder="1" applyAlignment="1" applyProtection="1">
      <alignment horizontal="right"/>
    </xf>
    <xf numFmtId="10" fontId="0" fillId="0" borderId="2" xfId="0" applyNumberFormat="1" applyBorder="1" applyAlignment="1" applyProtection="1">
      <alignment horizontal="right"/>
    </xf>
    <xf numFmtId="169" fontId="31" fillId="0" borderId="0" xfId="8" applyNumberFormat="1" applyBorder="1" applyAlignment="1" applyProtection="1">
      <alignment horizontal="right"/>
    </xf>
    <xf numFmtId="10" fontId="30" fillId="0" borderId="19" xfId="7" applyNumberFormat="1" applyBorder="1" applyAlignment="1" applyProtection="1">
      <alignment horizontal="right"/>
    </xf>
    <xf numFmtId="10" fontId="30" fillId="0" borderId="0" xfId="7" applyNumberFormat="1" applyBorder="1" applyAlignment="1" applyProtection="1">
      <alignment horizontal="right"/>
    </xf>
    <xf numFmtId="10" fontId="30" fillId="0" borderId="20" xfId="7" applyNumberFormat="1" applyBorder="1" applyAlignment="1" applyProtection="1">
      <alignment horizontal="right"/>
    </xf>
    <xf numFmtId="169" fontId="31" fillId="0" borderId="19" xfId="8" applyNumberFormat="1" applyBorder="1" applyAlignment="1" applyProtection="1">
      <alignment horizontal="right"/>
    </xf>
    <xf numFmtId="169" fontId="31" fillId="0" borderId="20" xfId="8" applyNumberFormat="1" applyBorder="1" applyAlignment="1" applyProtection="1">
      <alignment horizontal="right"/>
    </xf>
    <xf numFmtId="169" fontId="0" fillId="0" borderId="18" xfId="0" applyNumberFormat="1" applyBorder="1" applyAlignment="1" applyProtection="1">
      <alignment horizontal="right"/>
    </xf>
    <xf numFmtId="1" fontId="30" fillId="0" borderId="0" xfId="7" applyNumberFormat="1" applyBorder="1" applyAlignment="1" applyProtection="1">
      <alignment horizontal="right"/>
    </xf>
    <xf numFmtId="169" fontId="1" fillId="3" borderId="0" xfId="4" applyNumberFormat="1" applyBorder="1" applyAlignment="1" applyProtection="1">
      <alignment horizontal="right"/>
    </xf>
    <xf numFmtId="169" fontId="1" fillId="3" borderId="2" xfId="4" applyNumberFormat="1" applyBorder="1" applyAlignment="1" applyProtection="1">
      <alignment horizontal="right"/>
    </xf>
    <xf numFmtId="169" fontId="31" fillId="0" borderId="2" xfId="8" applyNumberFormat="1" applyBorder="1" applyAlignment="1" applyProtection="1">
      <alignment horizontal="right"/>
    </xf>
    <xf numFmtId="169" fontId="7" fillId="0" borderId="19" xfId="0" applyNumberFormat="1" applyFont="1" applyBorder="1" applyAlignment="1" applyProtection="1">
      <alignment horizontal="right"/>
    </xf>
    <xf numFmtId="169" fontId="7" fillId="0" borderId="0" xfId="0" applyNumberFormat="1" applyFont="1" applyBorder="1" applyAlignment="1" applyProtection="1">
      <alignment horizontal="right"/>
    </xf>
    <xf numFmtId="169" fontId="7" fillId="0" borderId="2" xfId="0" applyNumberFormat="1" applyFont="1" applyBorder="1" applyAlignment="1" applyProtection="1">
      <alignment horizontal="right"/>
    </xf>
    <xf numFmtId="10" fontId="31" fillId="0" borderId="0" xfId="8" applyNumberFormat="1" applyBorder="1" applyAlignment="1" applyProtection="1">
      <alignment horizontal="right"/>
    </xf>
    <xf numFmtId="169" fontId="0" fillId="0" borderId="0" xfId="0" applyNumberFormat="1" applyAlignment="1" applyProtection="1">
      <alignment horizontal="right"/>
    </xf>
    <xf numFmtId="1" fontId="0" fillId="0" borderId="0" xfId="0" applyNumberFormat="1" applyAlignment="1" applyProtection="1">
      <alignment horizontal="right"/>
    </xf>
    <xf numFmtId="1" fontId="1" fillId="0" borderId="0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69" fontId="7" fillId="0" borderId="16" xfId="0" applyNumberFormat="1" applyFont="1" applyBorder="1" applyAlignment="1" applyProtection="1">
      <alignment horizontal="right"/>
    </xf>
    <xf numFmtId="10" fontId="31" fillId="0" borderId="19" xfId="8" applyNumberFormat="1" applyBorder="1" applyAlignment="1" applyProtection="1">
      <alignment horizontal="right"/>
    </xf>
    <xf numFmtId="10" fontId="31" fillId="0" borderId="20" xfId="8" applyNumberFormat="1" applyBorder="1" applyAlignment="1" applyProtection="1">
      <alignment horizontal="right"/>
    </xf>
    <xf numFmtId="169" fontId="30" fillId="0" borderId="0" xfId="7" applyNumberFormat="1" applyBorder="1" applyAlignment="1" applyProtection="1">
      <alignment horizontal="right"/>
    </xf>
    <xf numFmtId="169" fontId="30" fillId="0" borderId="2" xfId="7" applyNumberFormat="1" applyBorder="1" applyAlignment="1" applyProtection="1">
      <alignment horizontal="right"/>
    </xf>
    <xf numFmtId="0" fontId="31" fillId="0" borderId="0" xfId="8" applyNumberFormat="1" applyBorder="1" applyAlignment="1" applyProtection="1">
      <alignment horizontal="right"/>
    </xf>
    <xf numFmtId="10" fontId="7" fillId="0" borderId="0" xfId="15" applyNumberFormat="1" applyBorder="1" applyAlignment="1" applyProtection="1">
      <alignment horizontal="right"/>
    </xf>
    <xf numFmtId="10" fontId="1" fillId="0" borderId="19" xfId="16" applyNumberFormat="1" applyBorder="1" applyAlignment="1" applyProtection="1">
      <alignment horizontal="right"/>
    </xf>
    <xf numFmtId="10" fontId="0" fillId="0" borderId="17" xfId="0" applyNumberFormat="1" applyBorder="1" applyAlignment="1" applyProtection="1">
      <alignment horizontal="right"/>
    </xf>
    <xf numFmtId="10" fontId="7" fillId="0" borderId="19" xfId="15" applyNumberFormat="1" applyBorder="1" applyAlignment="1" applyProtection="1">
      <alignment horizontal="right"/>
    </xf>
    <xf numFmtId="10" fontId="1" fillId="3" borderId="19" xfId="4" applyNumberFormat="1" applyBorder="1" applyAlignment="1" applyProtection="1">
      <alignment horizontal="right"/>
    </xf>
    <xf numFmtId="10" fontId="1" fillId="3" borderId="0" xfId="4" applyNumberFormat="1" applyBorder="1" applyAlignment="1" applyProtection="1">
      <alignment horizontal="right"/>
    </xf>
    <xf numFmtId="10" fontId="1" fillId="3" borderId="2" xfId="4" applyNumberFormat="1" applyBorder="1" applyAlignment="1" applyProtection="1">
      <alignment horizontal="right"/>
    </xf>
    <xf numFmtId="169" fontId="7" fillId="0" borderId="0" xfId="15" applyNumberFormat="1" applyBorder="1" applyAlignment="1" applyProtection="1">
      <alignment horizontal="right"/>
    </xf>
    <xf numFmtId="10" fontId="1" fillId="0" borderId="2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 wrapText="1"/>
    </xf>
    <xf numFmtId="169" fontId="1" fillId="3" borderId="20" xfId="4" applyNumberFormat="1" applyBorder="1" applyAlignment="1" applyProtection="1">
      <alignment horizontal="right"/>
    </xf>
    <xf numFmtId="169" fontId="1" fillId="0" borderId="19" xfId="16" applyNumberFormat="1" applyBorder="1" applyAlignment="1" applyProtection="1">
      <alignment horizontal="right"/>
    </xf>
    <xf numFmtId="169" fontId="0" fillId="0" borderId="19" xfId="0" applyNumberFormat="1" applyFont="1" applyBorder="1" applyAlignment="1" applyProtection="1">
      <alignment horizontal="right"/>
    </xf>
    <xf numFmtId="169" fontId="0" fillId="0" borderId="0" xfId="0" applyNumberFormat="1" applyFont="1" applyBorder="1" applyAlignment="1" applyProtection="1">
      <alignment horizontal="right"/>
    </xf>
    <xf numFmtId="169" fontId="1" fillId="0" borderId="2" xfId="16" applyNumberFormat="1" applyBorder="1" applyAlignment="1" applyProtection="1">
      <alignment horizontal="right"/>
    </xf>
    <xf numFmtId="10" fontId="30" fillId="0" borderId="2" xfId="7" applyNumberFormat="1" applyBorder="1" applyAlignment="1" applyProtection="1">
      <alignment horizontal="right"/>
    </xf>
    <xf numFmtId="10" fontId="7" fillId="0" borderId="2" xfId="15" applyNumberFormat="1" applyBorder="1" applyAlignment="1" applyProtection="1">
      <alignment horizontal="right"/>
    </xf>
    <xf numFmtId="0" fontId="1" fillId="0" borderId="19" xfId="16" applyNumberFormat="1" applyFill="1" applyBorder="1" applyAlignment="1" applyProtection="1">
      <alignment horizontal="left"/>
    </xf>
    <xf numFmtId="10" fontId="7" fillId="0" borderId="19" xfId="15" applyNumberFormat="1" applyBorder="1" applyAlignment="1" applyProtection="1">
      <alignment horizontal="right" wrapText="1"/>
    </xf>
    <xf numFmtId="10" fontId="1" fillId="0" borderId="0" xfId="16" applyNumberFormat="1" applyFill="1" applyBorder="1" applyAlignment="1" applyProtection="1">
      <alignment horizontal="right"/>
    </xf>
    <xf numFmtId="10" fontId="0" fillId="0" borderId="0" xfId="0" applyNumberFormat="1" applyFill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vertical="center"/>
    </xf>
    <xf numFmtId="1" fontId="30" fillId="0" borderId="0" xfId="7" applyNumberFormat="1" applyBorder="1" applyAlignment="1" applyProtection="1">
      <alignment horizontal="right" wrapText="1"/>
    </xf>
    <xf numFmtId="169" fontId="31" fillId="0" borderId="16" xfId="8" applyNumberFormat="1" applyBorder="1" applyAlignment="1" applyProtection="1">
      <alignment horizontal="right"/>
    </xf>
    <xf numFmtId="1" fontId="31" fillId="0" borderId="0" xfId="8" applyNumberFormat="1" applyBorder="1" applyAlignment="1" applyProtection="1">
      <alignment horizontal="right"/>
    </xf>
    <xf numFmtId="10" fontId="30" fillId="0" borderId="18" xfId="7" applyNumberFormat="1" applyBorder="1" applyAlignment="1" applyProtection="1">
      <alignment horizontal="right"/>
    </xf>
    <xf numFmtId="1" fontId="31" fillId="0" borderId="19" xfId="8" applyNumberFormat="1" applyBorder="1" applyAlignment="1" applyProtection="1">
      <alignment horizontal="right"/>
    </xf>
    <xf numFmtId="1" fontId="31" fillId="0" borderId="2" xfId="8" applyNumberFormat="1" applyBorder="1" applyAlignment="1" applyProtection="1">
      <alignment horizontal="right"/>
    </xf>
    <xf numFmtId="10" fontId="1" fillId="3" borderId="20" xfId="4" applyNumberFormat="1" applyBorder="1" applyAlignment="1" applyProtection="1">
      <alignment horizontal="right"/>
    </xf>
    <xf numFmtId="0" fontId="14" fillId="0" borderId="0" xfId="11" applyNumberFormat="1" applyAlignment="1" applyProtection="1">
      <alignment horizontal="left"/>
    </xf>
    <xf numFmtId="10" fontId="30" fillId="0" borderId="16" xfId="7" applyNumberFormat="1" applyBorder="1" applyAlignment="1" applyProtection="1">
      <alignment horizontal="right"/>
    </xf>
    <xf numFmtId="10" fontId="7" fillId="0" borderId="18" xfId="15" applyNumberFormat="1" applyBorder="1" applyAlignment="1" applyProtection="1">
      <alignment horizontal="right"/>
    </xf>
    <xf numFmtId="0" fontId="1" fillId="0" borderId="19" xfId="16" quotePrefix="1" applyNumberFormat="1" applyBorder="1" applyAlignment="1" applyProtection="1">
      <alignment horizontal="left"/>
    </xf>
    <xf numFmtId="10" fontId="7" fillId="44" borderId="19" xfId="63" quotePrefix="1" applyNumberFormat="1" applyFont="1" applyBorder="1" applyAlignment="1" applyProtection="1">
      <alignment horizontal="right"/>
    </xf>
    <xf numFmtId="10" fontId="7" fillId="0" borderId="19" xfId="15" applyNumberFormat="1" applyBorder="1" applyAlignment="1">
      <alignment horizontal="right"/>
    </xf>
    <xf numFmtId="10" fontId="7" fillId="0" borderId="0" xfId="15" applyNumberFormat="1" applyBorder="1" applyAlignment="1">
      <alignment horizontal="right"/>
    </xf>
    <xf numFmtId="0" fontId="0" fillId="0" borderId="0" xfId="0" applyBorder="1"/>
    <xf numFmtId="0" fontId="11" fillId="0" borderId="0" xfId="0" applyFont="1" applyAlignment="1" applyProtection="1">
      <alignment horizontal="left" vertical="top" wrapText="1"/>
    </xf>
    <xf numFmtId="0" fontId="0" fillId="0" borderId="0" xfId="16" applyNumberFormat="1" applyFont="1" applyBorder="1" applyAlignment="1" applyProtection="1">
      <alignment horizontal="left"/>
    </xf>
    <xf numFmtId="0" fontId="0" fillId="0" borderId="20" xfId="16" applyNumberFormat="1" applyFont="1" applyBorder="1" applyAlignment="1" applyProtection="1">
      <alignment horizontal="left"/>
    </xf>
    <xf numFmtId="169" fontId="0" fillId="46" borderId="0" xfId="14" applyNumberFormat="1" applyFont="1" applyBorder="1" applyAlignment="1" applyProtection="1">
      <alignment horizontal="right"/>
      <protection locked="0"/>
    </xf>
    <xf numFmtId="169" fontId="0" fillId="46" borderId="20" xfId="14" applyNumberFormat="1" applyFont="1" applyBorder="1" applyAlignment="1" applyProtection="1">
      <alignment horizontal="right"/>
      <protection locked="0"/>
    </xf>
    <xf numFmtId="0" fontId="0" fillId="0" borderId="0" xfId="16" applyNumberFormat="1" applyFont="1" applyAlignment="1" applyProtection="1">
      <alignment horizontal="left"/>
    </xf>
    <xf numFmtId="169" fontId="30" fillId="0" borderId="18" xfId="7" applyNumberFormat="1" applyBorder="1" applyAlignment="1" applyProtection="1">
      <alignment horizontal="right"/>
    </xf>
    <xf numFmtId="168" fontId="0" fillId="2" borderId="0" xfId="13" applyNumberFormat="1" applyFont="1" applyBorder="1" applyAlignment="1" applyProtection="1">
      <alignment horizontal="left" vertical="top" wrapText="1"/>
      <protection locked="0"/>
    </xf>
    <xf numFmtId="170" fontId="0" fillId="0" borderId="0" xfId="0" applyNumberFormat="1" applyBorder="1" applyAlignment="1" applyProtection="1">
      <alignment horizontal="right"/>
    </xf>
    <xf numFmtId="170" fontId="1" fillId="0" borderId="0" xfId="16" applyNumberFormat="1" applyBorder="1" applyAlignment="1" applyProtection="1">
      <alignment horizontal="right"/>
    </xf>
    <xf numFmtId="0" fontId="0" fillId="2" borderId="0" xfId="13" applyFont="1" applyBorder="1" applyAlignment="1" applyProtection="1">
      <alignment wrapText="1"/>
      <protection locked="0"/>
    </xf>
    <xf numFmtId="1" fontId="7" fillId="0" borderId="19" xfId="15" applyNumberFormat="1" applyBorder="1" applyAlignment="1" applyProtection="1">
      <alignment horizontal="right" wrapText="1"/>
    </xf>
    <xf numFmtId="1" fontId="7" fillId="0" borderId="20" xfId="15" applyNumberFormat="1" applyBorder="1" applyAlignment="1" applyProtection="1">
      <alignment horizontal="right" wrapText="1"/>
    </xf>
    <xf numFmtId="0" fontId="1" fillId="0" borderId="0" xfId="16" applyNumberFormat="1" applyBorder="1" applyAlignment="1">
      <alignment horizontal="left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right"/>
    </xf>
    <xf numFmtId="171" fontId="0" fillId="0" borderId="0" xfId="0" applyNumberFormat="1" applyBorder="1" applyAlignment="1" applyProtection="1">
      <alignment horizontal="left"/>
    </xf>
  </cellXfs>
  <cellStyles count="65">
    <cellStyle name="20% - Accent1" xfId="39" builtinId="30" hidden="1"/>
    <cellStyle name="20% - Accent2" xfId="43" builtinId="34" hidden="1"/>
    <cellStyle name="20% - Accent3" xfId="47" builtinId="38" hidden="1"/>
    <cellStyle name="20% - Accent4" xfId="51" builtinId="42" hidden="1"/>
    <cellStyle name="20% - Accent5" xfId="55" builtinId="46" hidden="1"/>
    <cellStyle name="20% - Accent6" xfId="59" builtinId="50" hidden="1"/>
    <cellStyle name="40% - Accent1" xfId="40" builtinId="31" hidden="1"/>
    <cellStyle name="40% - Accent2" xfId="44" builtinId="35" hidden="1"/>
    <cellStyle name="40% - Accent3" xfId="48" builtinId="39" hidden="1"/>
    <cellStyle name="40% - Accent4" xfId="52" builtinId="43" hidden="1"/>
    <cellStyle name="40% - Accent5" xfId="56" builtinId="47" hidden="1"/>
    <cellStyle name="40% - Accent6" xfId="60" builtinId="51" hidden="1"/>
    <cellStyle name="60% - Accent1" xfId="41" builtinId="32" hidden="1"/>
    <cellStyle name="60% - Accent2" xfId="45" builtinId="36" hidden="1"/>
    <cellStyle name="60% - Accent3" xfId="49" builtinId="40" hidden="1"/>
    <cellStyle name="60% - Accent4" xfId="53" builtinId="44" hidden="1"/>
    <cellStyle name="60% - Accent5" xfId="57" builtinId="48" hidden="1"/>
    <cellStyle name="60% - Accent6" xfId="61" builtinId="52" hidden="1"/>
    <cellStyle name="Accent1" xfId="38" builtinId="29" hidden="1"/>
    <cellStyle name="Accent2" xfId="42" builtinId="33" hidden="1"/>
    <cellStyle name="Accent3" xfId="46" builtinId="37" hidden="1"/>
    <cellStyle name="Accent4" xfId="50" builtinId="41" hidden="1"/>
    <cellStyle name="Accent5" xfId="54" builtinId="45" hidden="1"/>
    <cellStyle name="Accent6" xfId="58" builtinId="49" hidden="1"/>
    <cellStyle name="Annotation_CEPATNEI" xfId="11"/>
    <cellStyle name="Bad" xfId="27" builtinId="27" hidden="1"/>
    <cellStyle name="Blank_CEPATNEI" xfId="4"/>
    <cellStyle name="Calculation" xfId="31" builtinId="22" hidden="1"/>
    <cellStyle name="Calculation_CEPATNEI" xfId="15"/>
    <cellStyle name="Check Cell" xfId="33" builtinId="23" hidden="1"/>
    <cellStyle name="ColumnHeading_CEPATNEI" xfId="5"/>
    <cellStyle name="Comma" xfId="2" builtinId="3" hidden="1"/>
    <cellStyle name="Comma [0]" xfId="18" builtinId="6" hidden="1"/>
    <cellStyle name="Currency" xfId="19" builtinId="4" hidden="1"/>
    <cellStyle name="Currency [0]" xfId="20" builtinId="7" hidden="1"/>
    <cellStyle name="EmptyCell_CEPATNEI" xfId="6"/>
    <cellStyle name="Explanatory Text" xfId="36" builtinId="53" hidden="1"/>
    <cellStyle name="Fixed_CEPATNEI" xfId="14"/>
    <cellStyle name="Followed Hyperlink" xfId="17" builtinId="9" hidden="1"/>
    <cellStyle name="Followed Hyperlink" xfId="64" builtinId="9" customBuiltin="1"/>
    <cellStyle name="Good" xfId="26" builtinId="26" hidden="1"/>
    <cellStyle name="Heading 1" xfId="22" builtinId="16" hidden="1"/>
    <cellStyle name="Heading 2" xfId="23" builtinId="17" hidden="1"/>
    <cellStyle name="Heading 3" xfId="24" builtinId="18" hidden="1"/>
    <cellStyle name="Heading 4" xfId="25" builtinId="19" hidden="1"/>
    <cellStyle name="Hyperlink" xfId="1" builtinId="8" hidden="1" customBuiltin="1"/>
    <cellStyle name="Hyperlink" xfId="62" builtinId="8" customBuiltin="1"/>
    <cellStyle name="Input" xfId="29" builtinId="20" hidden="1"/>
    <cellStyle name="Input_CEPATNEI" xfId="13"/>
    <cellStyle name="Linked Cell" xfId="32" builtinId="24" hidden="1"/>
    <cellStyle name="LinkedTo_CEPATNEI" xfId="7"/>
    <cellStyle name="LinksFrom_CEPATNEI" xfId="8"/>
    <cellStyle name="Neutral" xfId="28" builtinId="28" hidden="1"/>
    <cellStyle name="Normal" xfId="0" builtinId="0" customBuiltin="1"/>
    <cellStyle name="Note" xfId="35" builtinId="10" hidden="1"/>
    <cellStyle name="Output" xfId="30" builtinId="21" hidden="1"/>
    <cellStyle name="Output_CEPATNEI" xfId="63"/>
    <cellStyle name="Percent" xfId="3" builtinId="5" hidden="1" customBuiltin="1"/>
    <cellStyle name="RowHeading_CEPATNEI" xfId="9"/>
    <cellStyle name="SectionHeading_CEPATNEI" xfId="10"/>
    <cellStyle name="SubSection_CEPATNEI" xfId="12"/>
    <cellStyle name="Text_CEPATNEI" xfId="16"/>
    <cellStyle name="Title" xfId="21" builtinId="15" hidden="1"/>
    <cellStyle name="Total" xfId="37" builtinId="25" hidden="1"/>
    <cellStyle name="Warning Text" xfId="34" builtinId="11" hidden="1"/>
  </cellStyles>
  <dxfs count="52"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C9C9C9"/>
      <color rgb="FFFF9999"/>
      <color rgb="FFCCCCFF"/>
      <color rgb="FFFFCC99"/>
      <color rgb="FFFFCCFF"/>
      <color rgb="FF275792"/>
      <color rgb="FFA5A5A5"/>
      <color rgb="FF808080"/>
      <color rgb="FF4B86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Capitalised!A1"/><Relationship Id="rId13" Type="http://schemas.openxmlformats.org/officeDocument/2006/relationships/hyperlink" Target="#'EDCM discounts'!A1"/><Relationship Id="rId3" Type="http://schemas.openxmlformats.org/officeDocument/2006/relationships/hyperlink" Target="#'Model map'!A1"/><Relationship Id="rId7" Type="http://schemas.openxmlformats.org/officeDocument/2006/relationships/hyperlink" Target="#Expenditure!A1"/><Relationship Id="rId12" Type="http://schemas.openxmlformats.org/officeDocument/2006/relationships/hyperlink" Target="#'Output to other models'!A1"/><Relationship Id="rId2" Type="http://schemas.openxmlformats.org/officeDocument/2006/relationships/hyperlink" Target="#'Version Control'!A1"/><Relationship Id="rId1" Type="http://schemas.openxmlformats.org/officeDocument/2006/relationships/hyperlink" Target="#Cover!A1"/><Relationship Id="rId6" Type="http://schemas.openxmlformats.org/officeDocument/2006/relationships/hyperlink" Target="#MEAV!A1"/><Relationship Id="rId11" Type="http://schemas.openxmlformats.org/officeDocument/2006/relationships/hyperlink" Target="#Expensed!A1"/><Relationship Id="rId5" Type="http://schemas.openxmlformats.org/officeDocument/2006/relationships/hyperlink" Target="#'DNO inputs'!A1"/><Relationship Id="rId10" Type="http://schemas.openxmlformats.org/officeDocument/2006/relationships/hyperlink" Target="#'Rev allocation'!A1"/><Relationship Id="rId4" Type="http://schemas.openxmlformats.org/officeDocument/2006/relationships/hyperlink" Target="#'Fixed inputs'!A1"/><Relationship Id="rId9" Type="http://schemas.openxmlformats.org/officeDocument/2006/relationships/hyperlink" Target="#'CDCM discounts'!A1"/><Relationship Id="rId14" Type="http://schemas.openxmlformats.org/officeDocument/2006/relationships/hyperlink" Target="#Direc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</xdr:colOff>
      <xdr:row>1</xdr:row>
      <xdr:rowOff>0</xdr:rowOff>
    </xdr:from>
    <xdr:to>
      <xdr:col>1</xdr:col>
      <xdr:colOff>573881</xdr:colOff>
      <xdr:row>3</xdr:row>
      <xdr:rowOff>25713</xdr:rowOff>
    </xdr:to>
    <xdr:pic>
      <xdr:nvPicPr>
        <xdr:cNvPr id="10" name="Picture 9" descr="S:\Administration\Logos\CEPA\CEPA 4 squares only.bmp">
          <a:extLst>
            <a:ext uri="{FF2B5EF4-FFF2-40B4-BE49-F238E27FC236}">
              <a16:creationId xmlns:a16="http://schemas.microsoft.com/office/drawing/2014/main" id="{645B4203-21B3-4FFD-9B81-D356F7A4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2" y="190500"/>
          <a:ext cx="565547" cy="57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101201</xdr:rowOff>
    </xdr:from>
    <xdr:to>
      <xdr:col>1</xdr:col>
      <xdr:colOff>698897</xdr:colOff>
      <xdr:row>4</xdr:row>
      <xdr:rowOff>97670</xdr:rowOff>
    </xdr:to>
    <xdr:pic>
      <xdr:nvPicPr>
        <xdr:cNvPr id="11" name="Picture 10" descr="Image result for tnei">
          <a:extLst>
            <a:ext uri="{FF2B5EF4-FFF2-40B4-BE49-F238E27FC236}">
              <a16:creationId xmlns:a16="http://schemas.microsoft.com/office/drawing/2014/main" id="{312A5B11-04C4-4363-B872-0366D139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839389"/>
          <a:ext cx="698897" cy="25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5040000</xdr:colOff>
      <xdr:row>11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C09B21CE-A54C-45C8-A3BD-2C64C77C5FD5}"/>
            </a:ext>
          </a:extLst>
        </xdr:cNvPr>
        <xdr:cNvSpPr/>
      </xdr:nvSpPr>
      <xdr:spPr>
        <a:xfrm>
          <a:off x="4588933" y="1862667"/>
          <a:ext cx="5040000" cy="931333"/>
        </a:xfrm>
        <a:prstGeom prst="rect">
          <a:avLst/>
        </a:prstGeom>
        <a:solidFill>
          <a:schemeClr val="bg1">
            <a:lumMod val="5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Information </a:t>
          </a:r>
        </a:p>
      </xdr:txBody>
    </xdr:sp>
    <xdr:clientData/>
  </xdr:twoCellAnchor>
  <xdr:twoCellAnchor>
    <xdr:from>
      <xdr:col>5</xdr:col>
      <xdr:colOff>0</xdr:colOff>
      <xdr:row>11</xdr:row>
      <xdr:rowOff>141023</xdr:rowOff>
    </xdr:from>
    <xdr:to>
      <xdr:col>5</xdr:col>
      <xdr:colOff>5040000</xdr:colOff>
      <xdr:row>16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8A4DD64F-8B0A-4690-BC1F-8F27FFC7E32D}"/>
            </a:ext>
          </a:extLst>
        </xdr:cNvPr>
        <xdr:cNvSpPr/>
      </xdr:nvSpPr>
      <xdr:spPr>
        <a:xfrm>
          <a:off x="4588933" y="2935023"/>
          <a:ext cx="5040000" cy="790310"/>
        </a:xfrm>
        <a:prstGeom prst="rect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Inputs</a:t>
          </a:r>
        </a:p>
      </xdr:txBody>
    </xdr:sp>
    <xdr:clientData/>
  </xdr:twoCellAnchor>
  <xdr:twoCellAnchor>
    <xdr:from>
      <xdr:col>5</xdr:col>
      <xdr:colOff>370821</xdr:colOff>
      <xdr:row>7</xdr:row>
      <xdr:rowOff>181792</xdr:rowOff>
    </xdr:from>
    <xdr:to>
      <xdr:col>5</xdr:col>
      <xdr:colOff>1614427</xdr:colOff>
      <xdr:row>9</xdr:row>
      <xdr:rowOff>168412</xdr:rowOff>
    </xdr:to>
    <xdr:sp macro="" textlink="">
      <xdr:nvSpPr>
        <xdr:cNvPr id="103" name="Rectangle 10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F539F-F8C1-4758-9C55-C24033800582}"/>
            </a:ext>
          </a:extLst>
        </xdr:cNvPr>
        <xdr:cNvSpPr/>
      </xdr:nvSpPr>
      <xdr:spPr>
        <a:xfrm>
          <a:off x="4959754" y="2230725"/>
          <a:ext cx="1243606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Cover</a:t>
          </a:r>
        </a:p>
      </xdr:txBody>
    </xdr:sp>
    <xdr:clientData/>
  </xdr:twoCellAnchor>
  <xdr:twoCellAnchor>
    <xdr:from>
      <xdr:col>5</xdr:col>
      <xdr:colOff>1941147</xdr:colOff>
      <xdr:row>7</xdr:row>
      <xdr:rowOff>181792</xdr:rowOff>
    </xdr:from>
    <xdr:to>
      <xdr:col>5</xdr:col>
      <xdr:colOff>3187135</xdr:colOff>
      <xdr:row>9</xdr:row>
      <xdr:rowOff>168412</xdr:rowOff>
    </xdr:to>
    <xdr:sp macro="" textlink="">
      <xdr:nvSpPr>
        <xdr:cNvPr id="104" name="Rectangle 10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5CB2F-4DAB-4FC6-84E6-34923ADD1D7F}"/>
            </a:ext>
          </a:extLst>
        </xdr:cNvPr>
        <xdr:cNvSpPr/>
      </xdr:nvSpPr>
      <xdr:spPr>
        <a:xfrm>
          <a:off x="6530080" y="2230725"/>
          <a:ext cx="1245988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Version control</a:t>
          </a:r>
        </a:p>
      </xdr:txBody>
    </xdr:sp>
    <xdr:clientData/>
  </xdr:twoCellAnchor>
  <xdr:twoCellAnchor>
    <xdr:from>
      <xdr:col>5</xdr:col>
      <xdr:colOff>3513855</xdr:colOff>
      <xdr:row>7</xdr:row>
      <xdr:rowOff>181792</xdr:rowOff>
    </xdr:from>
    <xdr:to>
      <xdr:col>5</xdr:col>
      <xdr:colOff>4759047</xdr:colOff>
      <xdr:row>9</xdr:row>
      <xdr:rowOff>168412</xdr:rowOff>
    </xdr:to>
    <xdr:sp macro="" textlink="">
      <xdr:nvSpPr>
        <xdr:cNvPr id="105" name="Rectangle 10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FC3E45-BAC7-4FE3-B899-9DE54C17D8F2}"/>
            </a:ext>
          </a:extLst>
        </xdr:cNvPr>
        <xdr:cNvSpPr/>
      </xdr:nvSpPr>
      <xdr:spPr>
        <a:xfrm>
          <a:off x="8102788" y="2230725"/>
          <a:ext cx="1245192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Model map</a:t>
          </a:r>
        </a:p>
      </xdr:txBody>
    </xdr:sp>
    <xdr:clientData/>
  </xdr:twoCellAnchor>
  <xdr:twoCellAnchor>
    <xdr:from>
      <xdr:col>5</xdr:col>
      <xdr:colOff>1146128</xdr:colOff>
      <xdr:row>13</xdr:row>
      <xdr:rowOff>53099</xdr:rowOff>
    </xdr:from>
    <xdr:to>
      <xdr:col>5</xdr:col>
      <xdr:colOff>2442120</xdr:colOff>
      <xdr:row>15</xdr:row>
      <xdr:rowOff>32099</xdr:rowOff>
    </xdr:to>
    <xdr:sp macro="" textlink="">
      <xdr:nvSpPr>
        <xdr:cNvPr id="106" name="Rectangle 10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6B708D-81C7-46CC-B9C2-7C14637C1A0A}"/>
            </a:ext>
          </a:extLst>
        </xdr:cNvPr>
        <xdr:cNvSpPr/>
      </xdr:nvSpPr>
      <xdr:spPr>
        <a:xfrm>
          <a:off x="5735061" y="3219632"/>
          <a:ext cx="1295992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Fixed inputs</a:t>
          </a:r>
        </a:p>
      </xdr:txBody>
    </xdr:sp>
    <xdr:clientData/>
  </xdr:twoCellAnchor>
  <xdr:twoCellAnchor>
    <xdr:from>
      <xdr:col>5</xdr:col>
      <xdr:colOff>2768841</xdr:colOff>
      <xdr:row>13</xdr:row>
      <xdr:rowOff>53099</xdr:rowOff>
    </xdr:from>
    <xdr:to>
      <xdr:col>5</xdr:col>
      <xdr:colOff>4014829</xdr:colOff>
      <xdr:row>15</xdr:row>
      <xdr:rowOff>32099</xdr:rowOff>
    </xdr:to>
    <xdr:sp macro="" textlink="">
      <xdr:nvSpPr>
        <xdr:cNvPr id="107" name="Rectangle 10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EEB44E-86E7-40E5-AAEE-4993D055E8AA}"/>
            </a:ext>
          </a:extLst>
        </xdr:cNvPr>
        <xdr:cNvSpPr/>
      </xdr:nvSpPr>
      <xdr:spPr>
        <a:xfrm>
          <a:off x="7357774" y="3219632"/>
          <a:ext cx="1245988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DNO inputs</a:t>
          </a:r>
        </a:p>
      </xdr:txBody>
    </xdr:sp>
    <xdr:clientData/>
  </xdr:twoCellAnchor>
  <xdr:twoCellAnchor>
    <xdr:from>
      <xdr:col>5</xdr:col>
      <xdr:colOff>0</xdr:colOff>
      <xdr:row>17</xdr:row>
      <xdr:rowOff>11907</xdr:rowOff>
    </xdr:from>
    <xdr:to>
      <xdr:col>5</xdr:col>
      <xdr:colOff>5040000</xdr:colOff>
      <xdr:row>35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6FD9FBEB-2C7D-4DE1-B3B2-9B3955B493BF}"/>
            </a:ext>
          </a:extLst>
        </xdr:cNvPr>
        <xdr:cNvSpPr/>
      </xdr:nvSpPr>
      <xdr:spPr>
        <a:xfrm>
          <a:off x="4588933" y="3923507"/>
          <a:ext cx="5040000" cy="3340893"/>
        </a:xfrm>
        <a:prstGeom prst="rect">
          <a:avLst/>
        </a:prstGeom>
        <a:solidFill>
          <a:schemeClr val="accent5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Calculations</a:t>
          </a:r>
        </a:p>
      </xdr:txBody>
    </xdr:sp>
    <xdr:clientData/>
  </xdr:twoCellAnchor>
  <xdr:twoCellAnchor>
    <xdr:from>
      <xdr:col>5</xdr:col>
      <xdr:colOff>228050</xdr:colOff>
      <xdr:row>19</xdr:row>
      <xdr:rowOff>68955</xdr:rowOff>
    </xdr:from>
    <xdr:to>
      <xdr:col>5</xdr:col>
      <xdr:colOff>1308050</xdr:colOff>
      <xdr:row>21</xdr:row>
      <xdr:rowOff>47955</xdr:rowOff>
    </xdr:to>
    <xdr:sp macro="" textlink="">
      <xdr:nvSpPr>
        <xdr:cNvPr id="109" name="Rectangle 10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C9AA99-F32D-4B16-A881-D69E213F6E09}"/>
            </a:ext>
          </a:extLst>
        </xdr:cNvPr>
        <xdr:cNvSpPr/>
      </xdr:nvSpPr>
      <xdr:spPr>
        <a:xfrm>
          <a:off x="4816983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MEAV</a:t>
          </a:r>
        </a:p>
      </xdr:txBody>
    </xdr:sp>
    <xdr:clientData/>
  </xdr:twoCellAnchor>
  <xdr:twoCellAnchor>
    <xdr:from>
      <xdr:col>5</xdr:col>
      <xdr:colOff>2294963</xdr:colOff>
      <xdr:row>19</xdr:row>
      <xdr:rowOff>68955</xdr:rowOff>
    </xdr:from>
    <xdr:to>
      <xdr:col>5</xdr:col>
      <xdr:colOff>3374963</xdr:colOff>
      <xdr:row>21</xdr:row>
      <xdr:rowOff>47955</xdr:rowOff>
    </xdr:to>
    <xdr:sp macro="" textlink="">
      <xdr:nvSpPr>
        <xdr:cNvPr id="110" name="Rectangle 10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C75B3B-30F0-410E-81D8-529764C1D2DD}"/>
            </a:ext>
          </a:extLst>
        </xdr:cNvPr>
        <xdr:cNvSpPr/>
      </xdr:nvSpPr>
      <xdr:spPr>
        <a:xfrm>
          <a:off x="6883896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Expenditure</a:t>
          </a:r>
        </a:p>
      </xdr:txBody>
    </xdr:sp>
    <xdr:clientData/>
  </xdr:twoCellAnchor>
  <xdr:twoCellAnchor>
    <xdr:from>
      <xdr:col>5</xdr:col>
      <xdr:colOff>1022202</xdr:colOff>
      <xdr:row>27</xdr:row>
      <xdr:rowOff>7042</xdr:rowOff>
    </xdr:from>
    <xdr:to>
      <xdr:col>5</xdr:col>
      <xdr:colOff>2102202</xdr:colOff>
      <xdr:row>28</xdr:row>
      <xdr:rowOff>176542</xdr:rowOff>
    </xdr:to>
    <xdr:sp macro="" textlink="">
      <xdr:nvSpPr>
        <xdr:cNvPr id="111" name="Rectangle 1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C35D7D-615B-4182-8631-FA7F93078976}"/>
            </a:ext>
          </a:extLst>
        </xdr:cNvPr>
        <xdr:cNvSpPr/>
      </xdr:nvSpPr>
      <xdr:spPr>
        <a:xfrm>
          <a:off x="5611135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Capitalised</a:t>
          </a:r>
        </a:p>
      </xdr:txBody>
    </xdr:sp>
    <xdr:clientData/>
  </xdr:twoCellAnchor>
  <xdr:twoCellAnchor>
    <xdr:from>
      <xdr:col>5</xdr:col>
      <xdr:colOff>1308050</xdr:colOff>
      <xdr:row>20</xdr:row>
      <xdr:rowOff>58455</xdr:rowOff>
    </xdr:from>
    <xdr:to>
      <xdr:col>5</xdr:col>
      <xdr:colOff>2294963</xdr:colOff>
      <xdr:row>20</xdr:row>
      <xdr:rowOff>58455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737AF6EE-B5C7-4D11-9F5C-25208F4969A0}"/>
            </a:ext>
          </a:extLst>
        </xdr:cNvPr>
        <xdr:cNvCxnSpPr>
          <a:stCxn id="109" idx="3"/>
          <a:endCxn id="110" idx="1"/>
        </xdr:cNvCxnSpPr>
      </xdr:nvCxnSpPr>
      <xdr:spPr>
        <a:xfrm>
          <a:off x="5896983" y="4528855"/>
          <a:ext cx="986913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5040000</xdr:colOff>
      <xdr:row>40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701EE38F-7033-4414-B22A-80AF56899704}"/>
            </a:ext>
          </a:extLst>
        </xdr:cNvPr>
        <xdr:cNvSpPr/>
      </xdr:nvSpPr>
      <xdr:spPr>
        <a:xfrm>
          <a:off x="4588933" y="7450667"/>
          <a:ext cx="5040000" cy="745066"/>
        </a:xfrm>
        <a:prstGeom prst="rect">
          <a:avLst/>
        </a:prstGeom>
        <a:solidFill>
          <a:schemeClr val="accent6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Results</a:t>
          </a:r>
        </a:p>
      </xdr:txBody>
    </xdr:sp>
    <xdr:clientData/>
  </xdr:twoCellAnchor>
  <xdr:twoCellAnchor>
    <xdr:from>
      <xdr:col>5</xdr:col>
      <xdr:colOff>3555239</xdr:colOff>
      <xdr:row>31</xdr:row>
      <xdr:rowOff>161725</xdr:rowOff>
    </xdr:from>
    <xdr:to>
      <xdr:col>5</xdr:col>
      <xdr:colOff>4635239</xdr:colOff>
      <xdr:row>33</xdr:row>
      <xdr:rowOff>140725</xdr:rowOff>
    </xdr:to>
    <xdr:sp macro="" textlink="">
      <xdr:nvSpPr>
        <xdr:cNvPr id="115" name="Rectangle 1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FF66A3D-865C-49D5-A2B1-CBDF916F9709}"/>
            </a:ext>
          </a:extLst>
        </xdr:cNvPr>
        <xdr:cNvSpPr/>
      </xdr:nvSpPr>
      <xdr:spPr>
        <a:xfrm>
          <a:off x="8144172" y="668105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CDCM discounts</a:t>
          </a:r>
        </a:p>
      </xdr:txBody>
    </xdr:sp>
    <xdr:clientData/>
  </xdr:twoCellAnchor>
  <xdr:twoCellAnchor>
    <xdr:from>
      <xdr:col>5</xdr:col>
      <xdr:colOff>3458851</xdr:colOff>
      <xdr:row>33</xdr:row>
      <xdr:rowOff>140725</xdr:rowOff>
    </xdr:from>
    <xdr:to>
      <xdr:col>5</xdr:col>
      <xdr:colOff>4095239</xdr:colOff>
      <xdr:row>37</xdr:row>
      <xdr:rowOff>17307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id="{31211347-6C0A-4137-9492-90687044FA51}"/>
            </a:ext>
          </a:extLst>
        </xdr:cNvPr>
        <xdr:cNvCxnSpPr>
          <a:stCxn id="115" idx="2"/>
          <a:endCxn id="28" idx="0"/>
        </xdr:cNvCxnSpPr>
      </xdr:nvCxnSpPr>
      <xdr:spPr>
        <a:xfrm flipH="1">
          <a:off x="8047784" y="7032592"/>
          <a:ext cx="636388" cy="621648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27</xdr:row>
      <xdr:rowOff>7042</xdr:rowOff>
    </xdr:from>
    <xdr:to>
      <xdr:col>5</xdr:col>
      <xdr:colOff>3374963</xdr:colOff>
      <xdr:row>28</xdr:row>
      <xdr:rowOff>176542</xdr:rowOff>
    </xdr:to>
    <xdr:sp macro="" textlink="">
      <xdr:nvSpPr>
        <xdr:cNvPr id="117" name="Rectangle 1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E32B3DD-80BD-4D24-A5A5-820800C22415}"/>
            </a:ext>
          </a:extLst>
        </xdr:cNvPr>
        <xdr:cNvSpPr/>
      </xdr:nvSpPr>
      <xdr:spPr>
        <a:xfrm>
          <a:off x="6883896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 allocation</a:t>
          </a:r>
        </a:p>
      </xdr:txBody>
    </xdr:sp>
    <xdr:clientData/>
  </xdr:twoCellAnchor>
  <xdr:twoCellAnchor>
    <xdr:from>
      <xdr:col>5</xdr:col>
      <xdr:colOff>2102202</xdr:colOff>
      <xdr:row>27</xdr:row>
      <xdr:rowOff>179422</xdr:rowOff>
    </xdr:from>
    <xdr:to>
      <xdr:col>5</xdr:col>
      <xdr:colOff>2294963</xdr:colOff>
      <xdr:row>27</xdr:row>
      <xdr:rowOff>179422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id="{86E44452-3D83-474E-A208-D1FC464A2AB3}"/>
            </a:ext>
          </a:extLst>
        </xdr:cNvPr>
        <xdr:cNvCxnSpPr>
          <a:stCxn id="111" idx="3"/>
          <a:endCxn id="117" idx="1"/>
        </xdr:cNvCxnSpPr>
      </xdr:nvCxnSpPr>
      <xdr:spPr>
        <a:xfrm>
          <a:off x="6691135" y="5953689"/>
          <a:ext cx="192761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id="{2CECCC25-537B-47BC-B3C2-707C870AA41A}"/>
            </a:ext>
          </a:extLst>
        </xdr:cNvPr>
        <xdr:cNvCxnSpPr>
          <a:stCxn id="117" idx="2"/>
          <a:endCxn id="115" idx="0"/>
        </xdr:cNvCxnSpPr>
      </xdr:nvCxnSpPr>
      <xdr:spPr>
        <a:xfrm>
          <a:off x="7423896" y="6137075"/>
          <a:ext cx="1260276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2520000</xdr:colOff>
      <xdr:row>16</xdr:row>
      <xdr:rowOff>0</xdr:rowOff>
    </xdr:from>
    <xdr:to>
      <xdr:col>5</xdr:col>
      <xdr:colOff>2520000</xdr:colOff>
      <xdr:row>17</xdr:row>
      <xdr:rowOff>11907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id="{C4A3977C-AB95-4EEA-84DB-3FC6F147F1B0}"/>
            </a:ext>
          </a:extLst>
        </xdr:cNvPr>
        <xdr:cNvCxnSpPr>
          <a:stCxn id="102" idx="2"/>
          <a:endCxn id="108" idx="0"/>
        </xdr:cNvCxnSpPr>
      </xdr:nvCxnSpPr>
      <xdr:spPr>
        <a:xfrm>
          <a:off x="7108933" y="3725333"/>
          <a:ext cx="0" cy="19817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22</xdr:row>
      <xdr:rowOff>133248</xdr:rowOff>
    </xdr:from>
    <xdr:to>
      <xdr:col>5</xdr:col>
      <xdr:colOff>3374963</xdr:colOff>
      <xdr:row>24</xdr:row>
      <xdr:rowOff>112248</xdr:rowOff>
    </xdr:to>
    <xdr:sp macro="" textlink="">
      <xdr:nvSpPr>
        <xdr:cNvPr id="26" name="Rectangle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B4FEB7B-58EF-4AEF-A746-A8D6CA6A18AB}"/>
            </a:ext>
          </a:extLst>
        </xdr:cNvPr>
        <xdr:cNvSpPr/>
      </xdr:nvSpPr>
      <xdr:spPr>
        <a:xfrm>
          <a:off x="6883896" y="4976181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Expensed</a:t>
          </a:r>
        </a:p>
      </xdr:txBody>
    </xdr:sp>
    <xdr:clientData/>
  </xdr:twoCellAnchor>
  <xdr:twoCellAnchor>
    <xdr:from>
      <xdr:col>5</xdr:col>
      <xdr:colOff>2835857</xdr:colOff>
      <xdr:row>37</xdr:row>
      <xdr:rowOff>17307</xdr:rowOff>
    </xdr:from>
    <xdr:to>
      <xdr:col>5</xdr:col>
      <xdr:colOff>4081845</xdr:colOff>
      <xdr:row>38</xdr:row>
      <xdr:rowOff>177282</xdr:rowOff>
    </xdr:to>
    <xdr:sp macro="" textlink="">
      <xdr:nvSpPr>
        <xdr:cNvPr id="28" name="Rectangle 2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E2719C4-71EB-4679-AEBE-07C19248D1DE}"/>
            </a:ext>
          </a:extLst>
        </xdr:cNvPr>
        <xdr:cNvSpPr/>
      </xdr:nvSpPr>
      <xdr:spPr>
        <a:xfrm>
          <a:off x="7424790" y="7654240"/>
          <a:ext cx="1245988" cy="3462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Output to other models</a:t>
          </a:r>
        </a:p>
      </xdr:txBody>
    </xdr:sp>
    <xdr:clientData/>
  </xdr:twoCellAnchor>
  <xdr:twoCellAnchor>
    <xdr:from>
      <xdr:col>5</xdr:col>
      <xdr:colOff>2294963</xdr:colOff>
      <xdr:row>31</xdr:row>
      <xdr:rowOff>154581</xdr:rowOff>
    </xdr:from>
    <xdr:to>
      <xdr:col>5</xdr:col>
      <xdr:colOff>3374963</xdr:colOff>
      <xdr:row>33</xdr:row>
      <xdr:rowOff>133581</xdr:rowOff>
    </xdr:to>
    <xdr:sp macro="" textlink="">
      <xdr:nvSpPr>
        <xdr:cNvPr id="29" name="Rectangle 2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55F9C12-AE28-4389-82FA-7D1DB39F6EC2}"/>
            </a:ext>
          </a:extLst>
        </xdr:cNvPr>
        <xdr:cNvSpPr/>
      </xdr:nvSpPr>
      <xdr:spPr>
        <a:xfrm>
          <a:off x="6883896" y="6673914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EDCM discounts</a:t>
          </a:r>
        </a:p>
      </xdr:txBody>
    </xdr:sp>
    <xdr:clientData/>
  </xdr:twoCellAnchor>
  <xdr:twoCellAnchor>
    <xdr:from>
      <xdr:col>5</xdr:col>
      <xdr:colOff>2834963</xdr:colOff>
      <xdr:row>33</xdr:row>
      <xdr:rowOff>133581</xdr:rowOff>
    </xdr:from>
    <xdr:to>
      <xdr:col>5</xdr:col>
      <xdr:colOff>3458851</xdr:colOff>
      <xdr:row>37</xdr:row>
      <xdr:rowOff>17307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15B74D6-2590-4E24-9399-AD45901CE1FA}"/>
            </a:ext>
          </a:extLst>
        </xdr:cNvPr>
        <xdr:cNvCxnSpPr>
          <a:stCxn id="29" idx="2"/>
          <a:endCxn id="28" idx="0"/>
        </xdr:cNvCxnSpPr>
      </xdr:nvCxnSpPr>
      <xdr:spPr>
        <a:xfrm>
          <a:off x="7423896" y="7025448"/>
          <a:ext cx="623888" cy="62879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3555239</xdr:colOff>
      <xdr:row>27</xdr:row>
      <xdr:rowOff>7042</xdr:rowOff>
    </xdr:from>
    <xdr:to>
      <xdr:col>5</xdr:col>
      <xdr:colOff>4635239</xdr:colOff>
      <xdr:row>28</xdr:row>
      <xdr:rowOff>176542</xdr:rowOff>
    </xdr:to>
    <xdr:sp macro="" textlink="">
      <xdr:nvSpPr>
        <xdr:cNvPr id="31" name="Rectangle 3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E024C67-DB9E-4E2C-91FE-395607DB738F}"/>
            </a:ext>
          </a:extLst>
        </xdr:cNvPr>
        <xdr:cNvSpPr/>
      </xdr:nvSpPr>
      <xdr:spPr>
        <a:xfrm>
          <a:off x="8144172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</a:t>
          </a:r>
        </a:p>
      </xdr:txBody>
    </xdr:sp>
    <xdr:clientData/>
  </xdr:twoCellAnchor>
  <xdr:twoCellAnchor>
    <xdr:from>
      <xdr:col>5</xdr:col>
      <xdr:colOff>2834963</xdr:colOff>
      <xdr:row>21</xdr:row>
      <xdr:rowOff>47955</xdr:rowOff>
    </xdr:from>
    <xdr:to>
      <xdr:col>5</xdr:col>
      <xdr:colOff>2834963</xdr:colOff>
      <xdr:row>22</xdr:row>
      <xdr:rowOff>133248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D47285DD-C51F-4420-A4FF-AEA0A22400BC}"/>
            </a:ext>
          </a:extLst>
        </xdr:cNvPr>
        <xdr:cNvCxnSpPr>
          <a:stCxn id="110" idx="2"/>
          <a:endCxn id="26" idx="0"/>
        </xdr:cNvCxnSpPr>
      </xdr:nvCxnSpPr>
      <xdr:spPr>
        <a:xfrm>
          <a:off x="7423896" y="4704622"/>
          <a:ext cx="0" cy="27155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24</xdr:row>
      <xdr:rowOff>112248</xdr:rowOff>
    </xdr:from>
    <xdr:to>
      <xdr:col>5</xdr:col>
      <xdr:colOff>2834963</xdr:colOff>
      <xdr:row>27</xdr:row>
      <xdr:rowOff>7042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A02EA60A-B43F-4A8F-A1DD-842AA1CDB7C1}"/>
            </a:ext>
          </a:extLst>
        </xdr:cNvPr>
        <xdr:cNvCxnSpPr>
          <a:stCxn id="26" idx="2"/>
          <a:endCxn id="117" idx="0"/>
        </xdr:cNvCxnSpPr>
      </xdr:nvCxnSpPr>
      <xdr:spPr>
        <a:xfrm>
          <a:off x="7423896" y="5327715"/>
          <a:ext cx="0" cy="45359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768051</xdr:colOff>
      <xdr:row>21</xdr:row>
      <xdr:rowOff>47954</xdr:rowOff>
    </xdr:from>
    <xdr:to>
      <xdr:col>5</xdr:col>
      <xdr:colOff>1022203</xdr:colOff>
      <xdr:row>27</xdr:row>
      <xdr:rowOff>179421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4EC5B22C-2392-4EF8-A8A7-E6BD0A8DD9AF}"/>
            </a:ext>
          </a:extLst>
        </xdr:cNvPr>
        <xdr:cNvCxnSpPr>
          <a:stCxn id="109" idx="2"/>
          <a:endCxn id="111" idx="1"/>
        </xdr:cNvCxnSpPr>
      </xdr:nvCxnSpPr>
      <xdr:spPr>
        <a:xfrm rot="16200000" flipH="1">
          <a:off x="4859526" y="5202079"/>
          <a:ext cx="1249067" cy="254152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3374963</xdr:colOff>
      <xdr:row>20</xdr:row>
      <xdr:rowOff>58455</xdr:rowOff>
    </xdr:from>
    <xdr:to>
      <xdr:col>5</xdr:col>
      <xdr:colOff>4095239</xdr:colOff>
      <xdr:row>27</xdr:row>
      <xdr:rowOff>7042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75D35FDA-080D-4205-BA89-89E67455A432}"/>
            </a:ext>
          </a:extLst>
        </xdr:cNvPr>
        <xdr:cNvCxnSpPr>
          <a:stCxn id="110" idx="3"/>
          <a:endCxn id="31" idx="0"/>
        </xdr:cNvCxnSpPr>
      </xdr:nvCxnSpPr>
      <xdr:spPr>
        <a:xfrm>
          <a:off x="7963896" y="4528855"/>
          <a:ext cx="720276" cy="1252454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4095239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7E2DDD69-B6B9-4BF9-B24F-572EAF3B6DFB}"/>
            </a:ext>
          </a:extLst>
        </xdr:cNvPr>
        <xdr:cNvCxnSpPr>
          <a:stCxn id="31" idx="2"/>
          <a:endCxn id="115" idx="0"/>
        </xdr:cNvCxnSpPr>
      </xdr:nvCxnSpPr>
      <xdr:spPr>
        <a:xfrm>
          <a:off x="8684172" y="6137075"/>
          <a:ext cx="0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2834963</xdr:colOff>
      <xdr:row>31</xdr:row>
      <xdr:rowOff>154581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E1ABC5AF-1DA9-4760-80DC-97348C44AA7A}"/>
            </a:ext>
          </a:extLst>
        </xdr:cNvPr>
        <xdr:cNvCxnSpPr>
          <a:stCxn id="117" idx="2"/>
          <a:endCxn id="29" idx="0"/>
        </xdr:cNvCxnSpPr>
      </xdr:nvCxnSpPr>
      <xdr:spPr>
        <a:xfrm>
          <a:off x="7423896" y="6137075"/>
          <a:ext cx="0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768050</xdr:colOff>
      <xdr:row>21</xdr:row>
      <xdr:rowOff>47955</xdr:rowOff>
    </xdr:from>
    <xdr:to>
      <xdr:col>5</xdr:col>
      <xdr:colOff>2834963</xdr:colOff>
      <xdr:row>27</xdr:row>
      <xdr:rowOff>7042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7BD0EC17-6C20-4D11-9A10-28773EA359C7}"/>
            </a:ext>
          </a:extLst>
        </xdr:cNvPr>
        <xdr:cNvCxnSpPr>
          <a:stCxn id="109" idx="2"/>
          <a:endCxn id="117" idx="0"/>
        </xdr:cNvCxnSpPr>
      </xdr:nvCxnSpPr>
      <xdr:spPr>
        <a:xfrm>
          <a:off x="5356983" y="4704622"/>
          <a:ext cx="2066913" cy="1076687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154581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BC630F20-92F3-4AC2-BEDF-8475CA6BBCA4}"/>
            </a:ext>
          </a:extLst>
        </xdr:cNvPr>
        <xdr:cNvCxnSpPr>
          <a:stCxn id="31" idx="2"/>
          <a:endCxn id="29" idx="0"/>
        </xdr:cNvCxnSpPr>
      </xdr:nvCxnSpPr>
      <xdr:spPr>
        <a:xfrm flipH="1">
          <a:off x="7423896" y="6137075"/>
          <a:ext cx="1260276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9C9C9"/>
    <pageSetUpPr fitToPage="1"/>
  </sheetPr>
  <dimension ref="A1:E46"/>
  <sheetViews>
    <sheetView showGridLines="0" showRowColHeaders="0" zoomScale="80" zoomScaleNormal="80" workbookViewId="0"/>
  </sheetViews>
  <sheetFormatPr defaultColWidth="0" defaultRowHeight="15" customHeight="1" x14ac:dyDescent="0.25"/>
  <cols>
    <col min="1" max="1" width="2.7109375" customWidth="1"/>
    <col min="2" max="2" width="22.7109375" customWidth="1"/>
    <col min="3" max="3" width="2.7109375" customWidth="1"/>
    <col min="4" max="4" width="100.42578125" customWidth="1"/>
    <col min="5" max="5" width="2.7109375" customWidth="1"/>
    <col min="6" max="16384" width="9.140625" hidden="1"/>
  </cols>
  <sheetData>
    <row r="1" spans="1:5" ht="15" customHeight="1" x14ac:dyDescent="0.25">
      <c r="A1" s="42"/>
      <c r="B1" s="43"/>
      <c r="C1" s="42"/>
      <c r="D1" s="42"/>
      <c r="E1" s="42"/>
    </row>
    <row r="2" spans="1:5" ht="28.5" x14ac:dyDescent="0.25">
      <c r="A2" s="42"/>
      <c r="B2" s="43"/>
      <c r="C2" s="42"/>
      <c r="D2" s="44" t="s">
        <v>0</v>
      </c>
      <c r="E2" s="42"/>
    </row>
    <row r="3" spans="1:5" ht="15" customHeight="1" x14ac:dyDescent="0.25">
      <c r="A3" s="42"/>
      <c r="B3" s="43"/>
      <c r="C3" s="42"/>
      <c r="D3" s="42"/>
      <c r="E3" s="42"/>
    </row>
    <row r="4" spans="1:5" ht="21" x14ac:dyDescent="0.25">
      <c r="A4" s="42"/>
      <c r="B4" s="43"/>
      <c r="C4" s="42"/>
      <c r="D4" s="215" t="s">
        <v>760</v>
      </c>
      <c r="E4" s="42"/>
    </row>
    <row r="5" spans="1:5" x14ac:dyDescent="0.25">
      <c r="A5" s="42"/>
      <c r="B5" s="43"/>
      <c r="C5" s="42"/>
      <c r="D5" s="42"/>
      <c r="E5" s="42"/>
    </row>
    <row r="6" spans="1:5" x14ac:dyDescent="0.25">
      <c r="A6" s="42"/>
      <c r="B6" s="45" t="str">
        <f>'Version control'!F7</f>
        <v>Model date:</v>
      </c>
      <c r="C6" s="42"/>
      <c r="D6" s="46">
        <f>'Version control'!H7</f>
        <v>43777</v>
      </c>
      <c r="E6" s="42"/>
    </row>
    <row r="7" spans="1:5" ht="15" customHeight="1" x14ac:dyDescent="0.25">
      <c r="A7" s="42"/>
      <c r="B7" s="43"/>
      <c r="C7" s="42"/>
      <c r="D7" s="42"/>
      <c r="E7" s="42"/>
    </row>
    <row r="8" spans="1:5" ht="15" customHeight="1" x14ac:dyDescent="0.25">
      <c r="A8" s="42"/>
      <c r="B8" s="45" t="str">
        <f>'Version control'!F9</f>
        <v>Development stage:</v>
      </c>
      <c r="C8" s="42"/>
      <c r="D8" s="47" t="str">
        <f>'Version control'!H9</f>
        <v>Release for charge setting</v>
      </c>
      <c r="E8" s="42"/>
    </row>
    <row r="9" spans="1:5" ht="15" customHeight="1" x14ac:dyDescent="0.25">
      <c r="A9" s="42"/>
      <c r="B9" s="43"/>
      <c r="C9" s="42"/>
      <c r="D9" s="42"/>
      <c r="E9" s="42"/>
    </row>
    <row r="10" spans="1:5" ht="15" customHeight="1" x14ac:dyDescent="0.25">
      <c r="A10" s="42"/>
      <c r="B10" s="45" t="str">
        <f>'Version control'!F11</f>
        <v>Model number:</v>
      </c>
      <c r="C10" s="42"/>
      <c r="D10" s="47">
        <f>'Version control'!H11</f>
        <v>4</v>
      </c>
      <c r="E10" s="42"/>
    </row>
    <row r="11" spans="1:5" ht="15" customHeight="1" x14ac:dyDescent="0.25">
      <c r="A11" s="42"/>
      <c r="B11" s="43"/>
      <c r="C11" s="42"/>
      <c r="D11" s="42"/>
      <c r="E11" s="42"/>
    </row>
    <row r="12" spans="1:5" ht="15" customHeight="1" x14ac:dyDescent="0.25">
      <c r="A12" s="42"/>
      <c r="B12" s="45" t="str">
        <f>'Version control'!F13</f>
        <v>DCUSA text version:</v>
      </c>
      <c r="C12" s="42"/>
      <c r="D12" s="47" t="str">
        <f>'Version control'!H13</f>
        <v>Attachment A_01 April 2021 Charging Methodologies Pre-Release_Issued October 2019 (shared 10/10/2019)</v>
      </c>
      <c r="E12" s="42"/>
    </row>
    <row r="13" spans="1:5" s="1" customFormat="1" ht="15" customHeight="1" x14ac:dyDescent="0.25">
      <c r="A13" s="42"/>
      <c r="B13" s="45"/>
      <c r="C13" s="42"/>
      <c r="D13" s="47"/>
      <c r="E13" s="42"/>
    </row>
    <row r="14" spans="1:5" s="1" customFormat="1" ht="15" customHeight="1" x14ac:dyDescent="0.25">
      <c r="A14" s="42"/>
      <c r="B14" s="45" t="str">
        <f>'Version control'!F15</f>
        <v>DCUSA text schedule:</v>
      </c>
      <c r="C14" s="42"/>
      <c r="D14" s="47" t="str">
        <f>'Version control'!H15</f>
        <v>Schedule 29</v>
      </c>
      <c r="E14" s="42"/>
    </row>
    <row r="15" spans="1:5" ht="15" customHeight="1" x14ac:dyDescent="0.25">
      <c r="A15" s="42"/>
      <c r="B15" s="43"/>
      <c r="C15" s="42"/>
      <c r="D15" s="42"/>
      <c r="E15" s="42"/>
    </row>
    <row r="16" spans="1:5" ht="30" x14ac:dyDescent="0.25">
      <c r="A16" s="42"/>
      <c r="B16" s="45" t="s">
        <v>4</v>
      </c>
      <c r="C16" s="42"/>
      <c r="D16" s="48" t="s">
        <v>759</v>
      </c>
      <c r="E16" s="42"/>
    </row>
    <row r="17" spans="1:5" x14ac:dyDescent="0.25">
      <c r="A17" s="42"/>
      <c r="B17" s="43"/>
      <c r="C17" s="42"/>
      <c r="D17" s="48" t="s">
        <v>727</v>
      </c>
      <c r="E17" s="42"/>
    </row>
    <row r="18" spans="1:5" x14ac:dyDescent="0.25">
      <c r="A18" s="42"/>
      <c r="B18" s="43"/>
      <c r="C18" s="42"/>
      <c r="D18" s="42"/>
      <c r="E18" s="42"/>
    </row>
    <row r="19" spans="1:5" ht="15" customHeight="1" x14ac:dyDescent="0.25">
      <c r="A19" s="42"/>
      <c r="B19" s="45" t="s">
        <v>1</v>
      </c>
      <c r="C19" s="42"/>
      <c r="D19" s="222" t="s">
        <v>766</v>
      </c>
      <c r="E19" s="42"/>
    </row>
    <row r="20" spans="1:5" ht="15" customHeight="1" x14ac:dyDescent="0.25">
      <c r="A20" s="42"/>
      <c r="B20" s="43"/>
      <c r="C20" s="42"/>
      <c r="D20" s="42"/>
      <c r="E20" s="42"/>
    </row>
    <row r="21" spans="1:5" ht="15" customHeight="1" x14ac:dyDescent="0.25">
      <c r="A21" s="42"/>
      <c r="B21" s="45" t="s">
        <v>2</v>
      </c>
      <c r="C21" s="42"/>
      <c r="D21" s="18" t="s">
        <v>763</v>
      </c>
      <c r="E21" s="42"/>
    </row>
    <row r="22" spans="1:5" ht="15" customHeight="1" x14ac:dyDescent="0.25">
      <c r="A22" s="42"/>
      <c r="B22" s="43"/>
      <c r="C22" s="42"/>
      <c r="D22" s="42"/>
      <c r="E22" s="42"/>
    </row>
    <row r="23" spans="1:5" ht="15" customHeight="1" x14ac:dyDescent="0.25">
      <c r="A23" s="42"/>
      <c r="B23" s="45" t="s">
        <v>3</v>
      </c>
      <c r="C23" s="42"/>
      <c r="D23" s="18" t="s">
        <v>564</v>
      </c>
      <c r="E23" s="42"/>
    </row>
    <row r="24" spans="1:5" ht="15" customHeight="1" x14ac:dyDescent="0.25">
      <c r="A24" s="42"/>
      <c r="B24" s="43"/>
      <c r="C24" s="42"/>
      <c r="D24" s="42"/>
      <c r="E24" s="42"/>
    </row>
    <row r="25" spans="1:5" ht="30" customHeight="1" x14ac:dyDescent="0.25">
      <c r="A25" s="42"/>
      <c r="B25" s="45" t="s">
        <v>11</v>
      </c>
      <c r="C25" s="42"/>
      <c r="D25" s="18" t="s">
        <v>565</v>
      </c>
      <c r="E25" s="42"/>
    </row>
    <row r="26" spans="1:5" ht="15" customHeight="1" x14ac:dyDescent="0.25">
      <c r="A26" s="42"/>
      <c r="B26" s="43"/>
      <c r="C26" s="42"/>
      <c r="D26" s="42"/>
      <c r="E26" s="42"/>
    </row>
    <row r="27" spans="1:5" ht="15" customHeight="1" x14ac:dyDescent="0.25">
      <c r="A27" s="42"/>
      <c r="B27" s="45" t="s">
        <v>5</v>
      </c>
      <c r="C27" s="42"/>
      <c r="D27" s="42"/>
      <c r="E27" s="42"/>
    </row>
    <row r="28" spans="1:5" ht="15" customHeight="1" x14ac:dyDescent="0.25">
      <c r="A28" s="42"/>
      <c r="B28" s="49" t="s">
        <v>6</v>
      </c>
      <c r="C28" s="50"/>
      <c r="D28" s="50" t="s">
        <v>7</v>
      </c>
      <c r="E28" s="42"/>
    </row>
    <row r="29" spans="1:5" x14ac:dyDescent="0.25">
      <c r="A29" s="42"/>
      <c r="B29" s="51"/>
      <c r="C29" s="52"/>
      <c r="D29" s="52" t="s">
        <v>9</v>
      </c>
      <c r="E29" s="42"/>
    </row>
    <row r="30" spans="1:5" x14ac:dyDescent="0.25">
      <c r="A30" s="42"/>
      <c r="B30" s="19" t="s">
        <v>265</v>
      </c>
      <c r="C30" s="53"/>
      <c r="D30" s="53" t="s">
        <v>8</v>
      </c>
      <c r="E30" s="42"/>
    </row>
    <row r="31" spans="1:5" x14ac:dyDescent="0.25">
      <c r="A31" s="42"/>
      <c r="B31" s="20" t="s">
        <v>265</v>
      </c>
      <c r="C31" s="53"/>
      <c r="D31" s="53" t="s">
        <v>264</v>
      </c>
      <c r="E31" s="42"/>
    </row>
    <row r="32" spans="1:5" x14ac:dyDescent="0.25">
      <c r="A32" s="42"/>
      <c r="B32" s="21" t="s">
        <v>265</v>
      </c>
      <c r="C32" s="53"/>
      <c r="D32" s="54" t="s">
        <v>511</v>
      </c>
      <c r="E32" s="42"/>
    </row>
    <row r="33" spans="1:5" x14ac:dyDescent="0.25">
      <c r="A33" s="42"/>
      <c r="B33" s="55" t="s">
        <v>265</v>
      </c>
      <c r="C33" s="53"/>
      <c r="D33" s="53" t="s">
        <v>10</v>
      </c>
      <c r="E33" s="42"/>
    </row>
    <row r="34" spans="1:5" x14ac:dyDescent="0.25">
      <c r="A34" s="42"/>
      <c r="B34" s="56" t="s">
        <v>265</v>
      </c>
      <c r="C34" s="53"/>
      <c r="D34" s="53" t="s">
        <v>478</v>
      </c>
      <c r="E34" s="42"/>
    </row>
    <row r="35" spans="1:5" x14ac:dyDescent="0.25">
      <c r="A35" s="42"/>
      <c r="B35" s="57" t="s">
        <v>265</v>
      </c>
      <c r="C35" s="53"/>
      <c r="D35" s="53" t="s">
        <v>479</v>
      </c>
      <c r="E35" s="42"/>
    </row>
    <row r="36" spans="1:5" x14ac:dyDescent="0.25">
      <c r="A36" s="42"/>
      <c r="B36" s="58" t="s">
        <v>265</v>
      </c>
      <c r="C36" s="53"/>
      <c r="D36" s="54" t="s">
        <v>494</v>
      </c>
      <c r="E36" s="42"/>
    </row>
    <row r="37" spans="1:5" x14ac:dyDescent="0.25">
      <c r="A37" s="42"/>
      <c r="B37" s="59" t="s">
        <v>477</v>
      </c>
      <c r="C37" s="53"/>
      <c r="D37" s="54" t="s">
        <v>480</v>
      </c>
      <c r="E37" s="42"/>
    </row>
    <row r="38" spans="1:5" ht="15" customHeight="1" x14ac:dyDescent="0.25">
      <c r="A38" s="42"/>
      <c r="B38" s="60" t="s">
        <v>477</v>
      </c>
      <c r="C38" s="53"/>
      <c r="D38" s="53" t="s">
        <v>481</v>
      </c>
      <c r="E38" s="42"/>
    </row>
    <row r="39" spans="1:5" ht="15" customHeight="1" x14ac:dyDescent="0.25">
      <c r="A39" s="42"/>
      <c r="B39" s="50" t="s">
        <v>477</v>
      </c>
      <c r="C39" s="53"/>
      <c r="D39" s="53" t="s">
        <v>482</v>
      </c>
      <c r="E39" s="42"/>
    </row>
    <row r="40" spans="1:5" ht="15" customHeight="1" x14ac:dyDescent="0.25">
      <c r="A40" s="42"/>
      <c r="B40" s="61" t="s">
        <v>477</v>
      </c>
      <c r="C40" s="53"/>
      <c r="D40" s="53" t="s">
        <v>507</v>
      </c>
      <c r="E40" s="42"/>
    </row>
    <row r="41" spans="1:5" ht="15" customHeight="1" x14ac:dyDescent="0.25">
      <c r="A41" s="42"/>
      <c r="B41" s="62" t="s">
        <v>477</v>
      </c>
      <c r="C41" s="53"/>
      <c r="D41" s="53" t="s">
        <v>508</v>
      </c>
      <c r="E41" s="42"/>
    </row>
    <row r="42" spans="1:5" ht="15" customHeight="1" x14ac:dyDescent="0.25">
      <c r="A42" s="42"/>
      <c r="B42" s="63" t="s">
        <v>477</v>
      </c>
      <c r="C42" s="53"/>
      <c r="D42" s="53" t="s">
        <v>509</v>
      </c>
      <c r="E42" s="42"/>
    </row>
    <row r="43" spans="1:5" ht="15" customHeight="1" x14ac:dyDescent="0.25">
      <c r="A43" s="42"/>
      <c r="B43" s="64" t="s">
        <v>506</v>
      </c>
      <c r="C43" s="53"/>
      <c r="D43" s="53" t="s">
        <v>510</v>
      </c>
      <c r="E43" s="42"/>
    </row>
    <row r="44" spans="1:5" ht="15" customHeight="1" x14ac:dyDescent="0.25">
      <c r="A44" s="42"/>
      <c r="B44" s="65" t="s">
        <v>506</v>
      </c>
      <c r="C44" s="53"/>
      <c r="D44" s="54" t="s">
        <v>489</v>
      </c>
      <c r="E44" s="42"/>
    </row>
    <row r="45" spans="1:5" ht="15" customHeight="1" x14ac:dyDescent="0.25">
      <c r="A45" s="42"/>
      <c r="B45" s="66" t="s">
        <v>506</v>
      </c>
      <c r="C45" s="53"/>
      <c r="D45" s="54" t="s">
        <v>490</v>
      </c>
      <c r="E45" s="42"/>
    </row>
    <row r="46" spans="1:5" ht="15" customHeight="1" x14ac:dyDescent="0.25">
      <c r="A46" s="42"/>
      <c r="B46" s="67" t="s">
        <v>506</v>
      </c>
      <c r="C46" s="68"/>
      <c r="D46" s="69" t="s">
        <v>491</v>
      </c>
      <c r="E46" s="42"/>
    </row>
  </sheetData>
  <sheetProtection sheet="1" objects="1" formatCells="0" formatColumns="0" formatRows="0" sort="0" autoFilter="0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0.59999389629810485"/>
  </sheetPr>
  <dimension ref="A1:Q6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Capitalised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H67 &amp; IF(H67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109"/>
      <c r="D8" s="109"/>
      <c r="E8" s="109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441</v>
      </c>
      <c r="D9" s="109"/>
      <c r="E9" s="109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442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42"/>
    </row>
    <row r="11" spans="1:17" x14ac:dyDescent="0.25">
      <c r="A11" s="73"/>
      <c r="B11" s="73"/>
      <c r="C11" s="109" t="s">
        <v>733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74"/>
    </row>
    <row r="12" spans="1:1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3"/>
      <c r="Q12" s="42"/>
    </row>
    <row r="13" spans="1:17" x14ac:dyDescent="0.25">
      <c r="A13" s="73"/>
      <c r="B13" s="107" t="s">
        <v>251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7"/>
      <c r="Q13" s="42"/>
    </row>
    <row r="14" spans="1:17" x14ac:dyDescent="0.25">
      <c r="A14" s="73"/>
      <c r="B14" s="73"/>
      <c r="C14" s="109"/>
      <c r="D14" s="109"/>
      <c r="E14" s="109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 t="s">
        <v>443</v>
      </c>
      <c r="D15" s="109"/>
      <c r="E15" s="109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73"/>
      <c r="C16" s="109" t="s">
        <v>444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3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101"/>
      <c r="C18" s="110" t="s">
        <v>719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0"/>
      <c r="Q18" s="42"/>
    </row>
    <row r="19" spans="1:17" x14ac:dyDescent="0.25">
      <c r="A19" s="73"/>
      <c r="B19" s="73"/>
      <c r="C19" s="109"/>
      <c r="D19" s="109"/>
      <c r="E19" s="109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3"/>
      <c r="Q19" s="42"/>
    </row>
    <row r="20" spans="1:17" x14ac:dyDescent="0.25">
      <c r="A20" s="73"/>
      <c r="B20" s="73"/>
      <c r="C20" s="73"/>
      <c r="D20" s="109"/>
      <c r="E20" s="112" t="str">
        <f>'DNO inputs'!E336</f>
        <v>Net capex (2005/06 to 2014/15), by network level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3" t="str">
        <f>'DNO inputs'!F337</f>
        <v>LV</v>
      </c>
      <c r="G21" s="113" t="str">
        <f>'DNO inputs'!G337</f>
        <v>£</v>
      </c>
      <c r="H21" s="156">
        <f>'DNO inputs'!H337</f>
        <v>116690169.08763137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115" t="str">
        <f>'DNO inputs'!F338</f>
        <v>LV/HV</v>
      </c>
      <c r="G22" s="115" t="str">
        <f>'DNO inputs'!G338</f>
        <v>£</v>
      </c>
      <c r="H22" s="152">
        <f>'DNO inputs'!H338</f>
        <v>34558479.357611723</v>
      </c>
      <c r="I22" s="130"/>
      <c r="J22" s="130"/>
      <c r="K22" s="130"/>
      <c r="L22" s="130"/>
      <c r="M22" s="130"/>
      <c r="N22" s="130"/>
      <c r="O22" s="74"/>
      <c r="P22" s="73"/>
      <c r="Q22" s="42"/>
    </row>
    <row r="23" spans="1:17" x14ac:dyDescent="0.25">
      <c r="A23" s="73"/>
      <c r="B23" s="73"/>
      <c r="C23" s="73"/>
      <c r="D23" s="73"/>
      <c r="E23" s="73"/>
      <c r="F23" s="115" t="str">
        <f>'DNO inputs'!F339</f>
        <v>HV</v>
      </c>
      <c r="G23" s="115" t="str">
        <f>'DNO inputs'!G339</f>
        <v>£</v>
      </c>
      <c r="H23" s="152">
        <f>'DNO inputs'!H339</f>
        <v>130450344.51140504</v>
      </c>
      <c r="I23" s="130"/>
      <c r="J23" s="130"/>
      <c r="K23" s="130"/>
      <c r="L23" s="130"/>
      <c r="M23" s="130"/>
      <c r="N23" s="130"/>
      <c r="O23" s="74"/>
      <c r="P23" s="73"/>
      <c r="Q23" s="42"/>
    </row>
    <row r="24" spans="1:17" x14ac:dyDescent="0.25">
      <c r="A24" s="73"/>
      <c r="B24" s="73"/>
      <c r="C24" s="73"/>
      <c r="D24" s="73"/>
      <c r="E24" s="73"/>
      <c r="F24" s="115" t="str">
        <f>'DNO inputs'!F340</f>
        <v>EHV</v>
      </c>
      <c r="G24" s="115" t="str">
        <f>'DNO inputs'!G340</f>
        <v>£</v>
      </c>
      <c r="H24" s="152">
        <f>'DNO inputs'!H340</f>
        <v>73665828.71729888</v>
      </c>
      <c r="I24" s="130"/>
      <c r="J24" s="130"/>
      <c r="K24" s="130"/>
      <c r="L24" s="130"/>
      <c r="M24" s="130"/>
      <c r="N24" s="130"/>
      <c r="O24" s="74"/>
      <c r="P24" s="73"/>
      <c r="Q24" s="42"/>
    </row>
    <row r="25" spans="1:17" x14ac:dyDescent="0.25">
      <c r="A25" s="73"/>
      <c r="B25" s="73"/>
      <c r="C25" s="73"/>
      <c r="D25" s="73"/>
      <c r="E25" s="73"/>
      <c r="F25" s="117" t="str">
        <f>'DNO inputs'!F341</f>
        <v>132kV</v>
      </c>
      <c r="G25" s="117" t="str">
        <f>'DNO inputs'!G341</f>
        <v>£</v>
      </c>
      <c r="H25" s="157">
        <f>'DNO inputs'!H341</f>
        <v>80156402.243089825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73"/>
      <c r="B27" s="101"/>
      <c r="C27" s="110" t="s">
        <v>648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0"/>
      <c r="Q27" s="42"/>
    </row>
    <row r="28" spans="1:17" x14ac:dyDescent="0.25">
      <c r="A28" s="73"/>
      <c r="B28" s="73"/>
      <c r="C28" s="109"/>
      <c r="D28" s="109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73"/>
      <c r="B29" s="73"/>
      <c r="C29" s="73"/>
      <c r="D29" s="109"/>
      <c r="E29" s="115" t="str">
        <f>'DNO inputs'!E348</f>
        <v>LV services share of LV net capex</v>
      </c>
      <c r="F29" s="73"/>
      <c r="G29" s="115" t="str">
        <f>'DNO inputs'!G348</f>
        <v>%</v>
      </c>
      <c r="H29" s="166">
        <f>'DNO inputs'!H348</f>
        <v>0.27737839130950015</v>
      </c>
      <c r="I29" s="135"/>
      <c r="J29" s="135"/>
      <c r="K29" s="135"/>
      <c r="L29" s="135"/>
      <c r="M29" s="135"/>
      <c r="N29" s="135"/>
      <c r="O29" s="74"/>
      <c r="P29" s="73"/>
      <c r="Q29" s="42"/>
    </row>
    <row r="30" spans="1:17" x14ac:dyDescent="0.25">
      <c r="A30" s="73"/>
      <c r="B30" s="73"/>
      <c r="C30" s="73"/>
      <c r="D30" s="109"/>
      <c r="E30" s="109"/>
      <c r="F30" s="73"/>
      <c r="G30" s="115"/>
      <c r="H30" s="176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115"/>
      <c r="B31" s="73"/>
      <c r="C31" s="73"/>
      <c r="D31" s="73"/>
      <c r="E31" s="115" t="s">
        <v>250</v>
      </c>
      <c r="F31" s="73"/>
      <c r="G31" s="115" t="s">
        <v>44</v>
      </c>
      <c r="H31" s="177">
        <f>1 - H29</f>
        <v>0.72262160869049985</v>
      </c>
      <c r="I31" s="131" t="s">
        <v>314</v>
      </c>
      <c r="J31" s="135"/>
      <c r="K31" s="135"/>
      <c r="L31" s="135"/>
      <c r="M31" s="135"/>
      <c r="N31" s="135"/>
      <c r="O31" s="74"/>
      <c r="P31" s="115" t="s">
        <v>571</v>
      </c>
      <c r="Q31" s="42"/>
    </row>
    <row r="32" spans="1:17" x14ac:dyDescent="0.25">
      <c r="A32" s="73"/>
      <c r="B32" s="73"/>
      <c r="C32" s="73"/>
      <c r="D32" s="73"/>
      <c r="E32" s="109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73"/>
      <c r="E33" s="112" t="s">
        <v>414</v>
      </c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3"/>
      <c r="Q33" s="42"/>
    </row>
    <row r="34" spans="1:17" x14ac:dyDescent="0.25">
      <c r="A34" s="115"/>
      <c r="B34" s="73"/>
      <c r="C34" s="73"/>
      <c r="D34" s="73"/>
      <c r="E34" s="73"/>
      <c r="F34" s="113" t="s">
        <v>165</v>
      </c>
      <c r="G34" s="113" t="s">
        <v>44</v>
      </c>
      <c r="H34" s="149"/>
      <c r="I34" s="178" t="s">
        <v>314</v>
      </c>
      <c r="J34" s="179">
        <f>H$29</f>
        <v>0.27737839130950015</v>
      </c>
      <c r="K34" s="180">
        <f>H$31</f>
        <v>0.72262160869049985</v>
      </c>
      <c r="L34" s="181"/>
      <c r="M34" s="181"/>
      <c r="N34" s="181"/>
      <c r="O34" s="74"/>
      <c r="P34" s="115" t="s">
        <v>571</v>
      </c>
      <c r="Q34" s="42"/>
    </row>
    <row r="35" spans="1:17" x14ac:dyDescent="0.25">
      <c r="A35" s="73"/>
      <c r="B35" s="73"/>
      <c r="C35" s="73"/>
      <c r="D35" s="73"/>
      <c r="E35" s="73"/>
      <c r="F35" s="115" t="s">
        <v>168</v>
      </c>
      <c r="G35" s="115" t="s">
        <v>44</v>
      </c>
      <c r="H35" s="135"/>
      <c r="I35" s="135"/>
      <c r="J35" s="182"/>
      <c r="K35" s="182"/>
      <c r="L35" s="24">
        <v>1</v>
      </c>
      <c r="M35" s="182"/>
      <c r="N35" s="182"/>
      <c r="O35" s="74"/>
      <c r="P35" s="73"/>
      <c r="Q35" s="42"/>
    </row>
    <row r="36" spans="1:17" x14ac:dyDescent="0.25">
      <c r="A36" s="73"/>
      <c r="B36" s="73"/>
      <c r="C36" s="73"/>
      <c r="D36" s="73"/>
      <c r="E36" s="73"/>
      <c r="F36" s="115" t="s">
        <v>40</v>
      </c>
      <c r="G36" s="115" t="s">
        <v>44</v>
      </c>
      <c r="H36" s="135"/>
      <c r="I36" s="135"/>
      <c r="J36" s="182"/>
      <c r="K36" s="182"/>
      <c r="L36" s="182"/>
      <c r="M36" s="24">
        <v>1</v>
      </c>
      <c r="N36" s="182"/>
      <c r="O36" s="74"/>
      <c r="P36" s="73"/>
      <c r="Q36" s="42"/>
    </row>
    <row r="37" spans="1:17" x14ac:dyDescent="0.25">
      <c r="A37" s="73"/>
      <c r="B37" s="73"/>
      <c r="C37" s="73"/>
      <c r="D37" s="73"/>
      <c r="E37" s="73"/>
      <c r="F37" s="115" t="s">
        <v>37</v>
      </c>
      <c r="G37" s="115" t="s">
        <v>44</v>
      </c>
      <c r="H37" s="135"/>
      <c r="I37" s="135"/>
      <c r="J37" s="182"/>
      <c r="K37" s="182"/>
      <c r="L37" s="182"/>
      <c r="M37" s="182"/>
      <c r="N37" s="24">
        <v>1</v>
      </c>
      <c r="O37" s="74"/>
      <c r="P37" s="73"/>
      <c r="Q37" s="42"/>
    </row>
    <row r="38" spans="1:17" x14ac:dyDescent="0.25">
      <c r="A38" s="73"/>
      <c r="B38" s="73"/>
      <c r="C38" s="73"/>
      <c r="D38" s="73"/>
      <c r="E38" s="73"/>
      <c r="F38" s="117" t="s">
        <v>35</v>
      </c>
      <c r="G38" s="117" t="s">
        <v>44</v>
      </c>
      <c r="H38" s="150"/>
      <c r="I38" s="151"/>
      <c r="J38" s="183"/>
      <c r="K38" s="183"/>
      <c r="L38" s="183"/>
      <c r="M38" s="183"/>
      <c r="N38" s="40">
        <v>1</v>
      </c>
      <c r="O38" s="74"/>
      <c r="P38" s="73"/>
      <c r="Q38" s="42"/>
    </row>
    <row r="39" spans="1:17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3"/>
      <c r="Q39" s="42"/>
    </row>
    <row r="40" spans="1:17" x14ac:dyDescent="0.25">
      <c r="A40" s="115"/>
      <c r="B40" s="73"/>
      <c r="C40" s="73"/>
      <c r="D40" s="73"/>
      <c r="E40" s="115" t="s">
        <v>397</v>
      </c>
      <c r="F40" s="73"/>
      <c r="G40" s="115" t="str">
        <f>G$21</f>
        <v>£</v>
      </c>
      <c r="H40" s="130"/>
      <c r="I40" s="143" t="s">
        <v>314</v>
      </c>
      <c r="J40" s="130">
        <f>SUMPRODUCT($H21:$H25, J34:J38)</f>
        <v>32367331.383160755</v>
      </c>
      <c r="K40" s="130">
        <f>SUMPRODUCT($H21:$H25, K34:K38)</f>
        <v>84322837.70447062</v>
      </c>
      <c r="L40" s="130">
        <f>SUMPRODUCT($H21:$H25, L34:L38)</f>
        <v>34558479.357611723</v>
      </c>
      <c r="M40" s="130">
        <f>SUMPRODUCT($H21:$H25, M34:M38)</f>
        <v>130450344.51140504</v>
      </c>
      <c r="N40" s="130">
        <f>SUMPRODUCT($H21:$H25, N34:N38)</f>
        <v>153822230.96038872</v>
      </c>
      <c r="O40" s="74"/>
      <c r="P40" s="115" t="s">
        <v>577</v>
      </c>
      <c r="Q40" s="42"/>
    </row>
    <row r="41" spans="1:17" x14ac:dyDescent="0.25">
      <c r="A41" s="115"/>
      <c r="B41" s="73"/>
      <c r="C41" s="73"/>
      <c r="D41" s="73"/>
      <c r="E41" s="115" t="s">
        <v>398</v>
      </c>
      <c r="F41" s="73"/>
      <c r="G41" s="115" t="str">
        <f>G$21</f>
        <v>£</v>
      </c>
      <c r="H41" s="130">
        <f>SUM(J40:N40)</f>
        <v>435521223.91703683</v>
      </c>
      <c r="I41" s="143" t="s">
        <v>314</v>
      </c>
      <c r="J41" s="130"/>
      <c r="K41" s="130"/>
      <c r="L41" s="130"/>
      <c r="M41" s="130"/>
      <c r="N41" s="130"/>
      <c r="O41" s="74"/>
      <c r="P41" s="115" t="s">
        <v>577</v>
      </c>
      <c r="Q41" s="42"/>
    </row>
    <row r="42" spans="1:17" x14ac:dyDescent="0.25">
      <c r="A42" s="73"/>
      <c r="B42" s="73"/>
      <c r="C42" s="73"/>
      <c r="D42" s="73"/>
      <c r="E42" s="115" t="s">
        <v>487</v>
      </c>
      <c r="F42" s="73"/>
      <c r="G42" s="115" t="s">
        <v>470</v>
      </c>
      <c r="H42" s="184" t="b">
        <f>H41 &gt; 0</f>
        <v>1</v>
      </c>
      <c r="I42" s="130"/>
      <c r="J42" s="130"/>
      <c r="K42" s="130"/>
      <c r="L42" s="130"/>
      <c r="M42" s="130"/>
      <c r="N42" s="130"/>
      <c r="O42" s="74"/>
      <c r="P42" s="73"/>
      <c r="Q42" s="42"/>
    </row>
    <row r="43" spans="1:17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3"/>
      <c r="Q43" s="42"/>
    </row>
    <row r="44" spans="1:17" x14ac:dyDescent="0.25">
      <c r="A44" s="115"/>
      <c r="B44" s="73"/>
      <c r="C44" s="73"/>
      <c r="D44" s="73"/>
      <c r="E44" s="115" t="s">
        <v>401</v>
      </c>
      <c r="F44" s="73"/>
      <c r="G44" s="115" t="s">
        <v>44</v>
      </c>
      <c r="H44" s="135"/>
      <c r="I44" s="131" t="s">
        <v>314</v>
      </c>
      <c r="J44" s="154">
        <f>IF($H42, J40 / $H41, 0)</f>
        <v>7.4318608613495402E-2</v>
      </c>
      <c r="K44" s="154">
        <f>IF($H42, K40 / $H41, 0)</f>
        <v>0.19361361300852106</v>
      </c>
      <c r="L44" s="154">
        <f>IF($H42, L40 / $H41, 0)</f>
        <v>7.9349702057677052E-2</v>
      </c>
      <c r="M44" s="154">
        <f>IF($H42, M40 / $H41, 0)</f>
        <v>0.29952695149537589</v>
      </c>
      <c r="N44" s="154">
        <f>IF($H42, N40 / $H41, 0)</f>
        <v>0.35319112482493065</v>
      </c>
      <c r="O44" s="74"/>
      <c r="P44" s="115" t="s">
        <v>577</v>
      </c>
      <c r="Q44" s="42"/>
    </row>
    <row r="45" spans="1:17" x14ac:dyDescent="0.25">
      <c r="A45" s="73"/>
      <c r="B45" s="73"/>
      <c r="C45" s="73"/>
      <c r="D45" s="73"/>
      <c r="E45" s="115" t="s">
        <v>239</v>
      </c>
      <c r="F45" s="73"/>
      <c r="G45" s="115" t="s">
        <v>231</v>
      </c>
      <c r="H45" s="170">
        <f>IF(SUM(J44:N44)= 1, 0, 1)</f>
        <v>0</v>
      </c>
      <c r="I45" s="136"/>
      <c r="J45" s="136"/>
      <c r="K45" s="136"/>
      <c r="L45" s="136"/>
      <c r="M45" s="136"/>
      <c r="N45" s="136"/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73"/>
      <c r="B47" s="101"/>
      <c r="C47" s="110" t="s">
        <v>649</v>
      </c>
      <c r="D47" s="110"/>
      <c r="E47" s="110"/>
      <c r="F47" s="110"/>
      <c r="G47" s="110"/>
      <c r="H47" s="111"/>
      <c r="I47" s="111"/>
      <c r="J47" s="111"/>
      <c r="K47" s="111"/>
      <c r="L47" s="111"/>
      <c r="M47" s="111"/>
      <c r="N47" s="111"/>
      <c r="O47" s="111"/>
      <c r="P47" s="110"/>
      <c r="Q47" s="42"/>
    </row>
    <row r="48" spans="1:17" x14ac:dyDescent="0.25">
      <c r="A48" s="73"/>
      <c r="B48" s="73"/>
      <c r="C48" s="109"/>
      <c r="D48" s="109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109"/>
      <c r="E49" s="115" t="str">
        <f>MEAV!E120</f>
        <v>EHV reduction rate</v>
      </c>
      <c r="F49" s="73"/>
      <c r="G49" s="115" t="str">
        <f>MEAV!G120</f>
        <v>%</v>
      </c>
      <c r="H49" s="166">
        <f>MEAV!H120</f>
        <v>0.90110202447732757</v>
      </c>
      <c r="I49" s="135"/>
      <c r="J49" s="135"/>
      <c r="K49" s="135"/>
      <c r="L49" s="135"/>
      <c r="M49" s="135"/>
      <c r="N49" s="135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73"/>
      <c r="C51" s="73"/>
      <c r="D51" s="73"/>
      <c r="E51" s="112" t="s">
        <v>415</v>
      </c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3"/>
      <c r="Q51" s="42"/>
    </row>
    <row r="52" spans="1:17" x14ac:dyDescent="0.25">
      <c r="A52" s="115"/>
      <c r="B52" s="73"/>
      <c r="C52" s="73"/>
      <c r="D52" s="73"/>
      <c r="E52" s="73"/>
      <c r="F52" s="113" t="s">
        <v>165</v>
      </c>
      <c r="G52" s="113" t="s">
        <v>44</v>
      </c>
      <c r="H52" s="149"/>
      <c r="I52" s="178" t="s">
        <v>314</v>
      </c>
      <c r="J52" s="212">
        <f>J34</f>
        <v>0.27737839130950015</v>
      </c>
      <c r="K52" s="212">
        <f>K34</f>
        <v>0.72262160869049985</v>
      </c>
      <c r="L52" s="181"/>
      <c r="M52" s="181"/>
      <c r="N52" s="181"/>
      <c r="O52" s="74"/>
      <c r="P52" s="115" t="s">
        <v>571</v>
      </c>
      <c r="Q52" s="42"/>
    </row>
    <row r="53" spans="1:17" x14ac:dyDescent="0.25">
      <c r="A53" s="73"/>
      <c r="B53" s="73"/>
      <c r="C53" s="73"/>
      <c r="D53" s="73"/>
      <c r="E53" s="73"/>
      <c r="F53" s="115" t="s">
        <v>168</v>
      </c>
      <c r="G53" s="115" t="s">
        <v>44</v>
      </c>
      <c r="H53" s="135"/>
      <c r="I53" s="135"/>
      <c r="J53" s="182"/>
      <c r="K53" s="182"/>
      <c r="L53" s="213">
        <f>L35</f>
        <v>1</v>
      </c>
      <c r="M53" s="182"/>
      <c r="N53" s="182"/>
      <c r="O53" s="74"/>
      <c r="P53" s="73"/>
      <c r="Q53" s="42"/>
    </row>
    <row r="54" spans="1:17" x14ac:dyDescent="0.25">
      <c r="A54" s="73"/>
      <c r="B54" s="73"/>
      <c r="C54" s="73"/>
      <c r="D54" s="73"/>
      <c r="E54" s="73"/>
      <c r="F54" s="115" t="s">
        <v>40</v>
      </c>
      <c r="G54" s="115" t="s">
        <v>44</v>
      </c>
      <c r="H54" s="135"/>
      <c r="I54" s="135"/>
      <c r="J54" s="182"/>
      <c r="K54" s="182"/>
      <c r="L54" s="182"/>
      <c r="M54" s="213">
        <f>M36</f>
        <v>1</v>
      </c>
      <c r="N54" s="182"/>
      <c r="O54" s="74"/>
      <c r="P54" s="73"/>
      <c r="Q54" s="42"/>
    </row>
    <row r="55" spans="1:17" x14ac:dyDescent="0.25">
      <c r="A55" s="115"/>
      <c r="B55" s="73"/>
      <c r="C55" s="73"/>
      <c r="D55" s="73"/>
      <c r="E55" s="73"/>
      <c r="F55" s="115" t="s">
        <v>37</v>
      </c>
      <c r="G55" s="115" t="s">
        <v>44</v>
      </c>
      <c r="H55" s="135"/>
      <c r="I55" s="131" t="s">
        <v>314</v>
      </c>
      <c r="J55" s="182"/>
      <c r="K55" s="182"/>
      <c r="L55" s="182"/>
      <c r="M55" s="182"/>
      <c r="N55" s="135">
        <f>H$49</f>
        <v>0.90110202447732757</v>
      </c>
      <c r="O55" s="74"/>
      <c r="P55" s="115" t="s">
        <v>578</v>
      </c>
      <c r="Q55" s="42"/>
    </row>
    <row r="56" spans="1:17" x14ac:dyDescent="0.25">
      <c r="A56" s="115"/>
      <c r="B56" s="73"/>
      <c r="C56" s="73"/>
      <c r="D56" s="73"/>
      <c r="E56" s="73"/>
      <c r="F56" s="117" t="s">
        <v>35</v>
      </c>
      <c r="G56" s="117" t="s">
        <v>44</v>
      </c>
      <c r="H56" s="150"/>
      <c r="I56" s="185" t="s">
        <v>314</v>
      </c>
      <c r="J56" s="206"/>
      <c r="K56" s="206"/>
      <c r="L56" s="206"/>
      <c r="M56" s="206"/>
      <c r="N56" s="150">
        <f>H$49</f>
        <v>0.90110202447732757</v>
      </c>
      <c r="O56" s="74"/>
      <c r="P56" s="115" t="s">
        <v>578</v>
      </c>
      <c r="Q56" s="42"/>
    </row>
    <row r="57" spans="1:1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115"/>
      <c r="B58" s="73"/>
      <c r="C58" s="73"/>
      <c r="D58" s="73"/>
      <c r="E58" s="115" t="s">
        <v>399</v>
      </c>
      <c r="F58" s="73"/>
      <c r="G58" s="115" t="str">
        <f>G$21</f>
        <v>£</v>
      </c>
      <c r="H58" s="130"/>
      <c r="I58" s="143" t="s">
        <v>314</v>
      </c>
      <c r="J58" s="130">
        <f>SUMPRODUCT($H21:$H25, J52:J56)</f>
        <v>32367331.383160755</v>
      </c>
      <c r="K58" s="130">
        <f>SUMPRODUCT($H21:$H25, K52:K56)</f>
        <v>84322837.70447062</v>
      </c>
      <c r="L58" s="130">
        <f>SUMPRODUCT($H21:$H25, L52:L56)</f>
        <v>34558479.357611723</v>
      </c>
      <c r="M58" s="130">
        <f>SUMPRODUCT($H21:$H25, M52:M56)</f>
        <v>130450344.51140504</v>
      </c>
      <c r="N58" s="130">
        <f>SUMPRODUCT($H21:$H25, N52:N56)</f>
        <v>138609523.72802532</v>
      </c>
      <c r="O58" s="74"/>
      <c r="P58" s="115" t="s">
        <v>577</v>
      </c>
      <c r="Q58" s="42"/>
    </row>
    <row r="59" spans="1:17" x14ac:dyDescent="0.25">
      <c r="A59" s="115"/>
      <c r="B59" s="73"/>
      <c r="C59" s="73"/>
      <c r="D59" s="73"/>
      <c r="E59" s="115" t="s">
        <v>488</v>
      </c>
      <c r="F59" s="73"/>
      <c r="G59" s="115" t="str">
        <f>G$21</f>
        <v>£</v>
      </c>
      <c r="H59" s="130">
        <f>SUM(J58:N58)</f>
        <v>420308516.68467343</v>
      </c>
      <c r="I59" s="143" t="s">
        <v>314</v>
      </c>
      <c r="J59" s="130"/>
      <c r="K59" s="130"/>
      <c r="L59" s="130"/>
      <c r="M59" s="130"/>
      <c r="N59" s="130"/>
      <c r="O59" s="74"/>
      <c r="P59" s="115" t="s">
        <v>577</v>
      </c>
      <c r="Q59" s="42"/>
    </row>
    <row r="60" spans="1:17" x14ac:dyDescent="0.25">
      <c r="A60" s="73"/>
      <c r="B60" s="73"/>
      <c r="C60" s="73"/>
      <c r="D60" s="73"/>
      <c r="E60" s="115" t="s">
        <v>487</v>
      </c>
      <c r="F60" s="73"/>
      <c r="G60" s="115" t="s">
        <v>470</v>
      </c>
      <c r="H60" s="184" t="b">
        <f>H59 &gt; 0</f>
        <v>1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115"/>
      <c r="B62" s="73"/>
      <c r="C62" s="73"/>
      <c r="D62" s="73"/>
      <c r="E62" s="115" t="s">
        <v>402</v>
      </c>
      <c r="F62" s="73"/>
      <c r="G62" s="115" t="s">
        <v>44</v>
      </c>
      <c r="H62" s="135"/>
      <c r="I62" s="131" t="s">
        <v>314</v>
      </c>
      <c r="J62" s="154">
        <f>IF($H60, J58 / $H59, 0)</f>
        <v>7.7008507080629979E-2</v>
      </c>
      <c r="K62" s="154">
        <f>IF($H60, K58 / $H59, 0)</f>
        <v>0.20062129211560051</v>
      </c>
      <c r="L62" s="154">
        <f>IF($H60, L58 / $H59, 0)</f>
        <v>8.2221696648460754E-2</v>
      </c>
      <c r="M62" s="154">
        <f>IF($H60, M58 / $H59, 0)</f>
        <v>0.31036807329143973</v>
      </c>
      <c r="N62" s="154">
        <f>IF($H60, N58 / $H59, 0)</f>
        <v>0.3297804308638691</v>
      </c>
      <c r="O62" s="74"/>
      <c r="P62" s="115" t="s">
        <v>577</v>
      </c>
      <c r="Q62" s="42"/>
    </row>
    <row r="63" spans="1:17" x14ac:dyDescent="0.25">
      <c r="A63" s="73"/>
      <c r="B63" s="73"/>
      <c r="C63" s="73"/>
      <c r="D63" s="73"/>
      <c r="E63" s="115" t="s">
        <v>239</v>
      </c>
      <c r="F63" s="73"/>
      <c r="G63" s="115" t="s">
        <v>231</v>
      </c>
      <c r="H63" s="170">
        <f>IF(SUM(J62:N62)= 1, 0, 1)</f>
        <v>0</v>
      </c>
      <c r="I63" s="136"/>
      <c r="J63" s="136"/>
      <c r="K63" s="136"/>
      <c r="L63" s="136"/>
      <c r="M63" s="136"/>
      <c r="N63" s="136"/>
      <c r="O63" s="74"/>
      <c r="P63" s="73"/>
      <c r="Q63" s="42"/>
    </row>
    <row r="64" spans="1:17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3"/>
      <c r="Q64" s="42"/>
    </row>
    <row r="65" spans="1:17" x14ac:dyDescent="0.25">
      <c r="A65" s="73"/>
      <c r="B65" s="107" t="s">
        <v>242</v>
      </c>
      <c r="C65" s="107"/>
      <c r="D65" s="107"/>
      <c r="E65" s="107"/>
      <c r="F65" s="107"/>
      <c r="G65" s="107"/>
      <c r="H65" s="108"/>
      <c r="I65" s="108"/>
      <c r="J65" s="108"/>
      <c r="K65" s="108"/>
      <c r="L65" s="108"/>
      <c r="M65" s="108"/>
      <c r="N65" s="108"/>
      <c r="O65" s="108"/>
      <c r="P65" s="107"/>
      <c r="Q65" s="42"/>
    </row>
    <row r="66" spans="1:17" x14ac:dyDescent="0.25">
      <c r="A66" s="73"/>
      <c r="B66" s="73"/>
      <c r="C66" s="109"/>
      <c r="D66" s="109"/>
      <c r="E66" s="109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3"/>
      <c r="Q66" s="42"/>
    </row>
    <row r="67" spans="1:17" x14ac:dyDescent="0.25">
      <c r="A67" s="73"/>
      <c r="B67" s="73"/>
      <c r="C67" s="109"/>
      <c r="D67" s="109"/>
      <c r="E67" s="115" t="s">
        <v>232</v>
      </c>
      <c r="F67" s="73"/>
      <c r="G67" s="115" t="s">
        <v>231</v>
      </c>
      <c r="H67" s="159">
        <f>H45 + H63</f>
        <v>0</v>
      </c>
      <c r="I67" s="136"/>
      <c r="J67" s="136"/>
      <c r="K67" s="136"/>
      <c r="L67" s="136"/>
      <c r="M67" s="136"/>
      <c r="N67" s="136"/>
      <c r="O67" s="74"/>
      <c r="P67" s="73"/>
      <c r="Q67" s="42"/>
    </row>
    <row r="68" spans="1:17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3"/>
      <c r="Q68" s="42"/>
    </row>
    <row r="69" spans="1:17" x14ac:dyDescent="0.25">
      <c r="A69" s="73"/>
      <c r="B69" s="107" t="s">
        <v>30</v>
      </c>
      <c r="C69" s="107"/>
      <c r="D69" s="107"/>
      <c r="E69" s="107"/>
      <c r="F69" s="107"/>
      <c r="G69" s="107"/>
      <c r="H69" s="108"/>
      <c r="I69" s="108"/>
      <c r="J69" s="108"/>
      <c r="K69" s="108"/>
      <c r="L69" s="108"/>
      <c r="M69" s="108"/>
      <c r="N69" s="108"/>
      <c r="O69" s="108"/>
      <c r="P69" s="107"/>
      <c r="Q69" s="42"/>
    </row>
  </sheetData>
  <sheetProtection sheet="1" objects="1" formatCells="0" formatColumns="0" formatRows="0" sort="0" autoFilter="0"/>
  <conditionalFormatting sqref="H45">
    <cfRule type="cellIs" dxfId="18" priority="2" stopIfTrue="1" operator="greaterThan">
      <formula>0</formula>
    </cfRule>
  </conditionalFormatting>
  <conditionalFormatting sqref="H63">
    <cfRule type="cellIs" dxfId="17" priority="3" stopIfTrue="1" operator="greaterThan">
      <formula>0</formula>
    </cfRule>
  </conditionalFormatting>
  <conditionalFormatting sqref="H67">
    <cfRule type="cellIs" dxfId="16" priority="4" stopIfTrue="1" operator="greaterThan">
      <formula>0</formula>
    </cfRule>
  </conditionalFormatting>
  <conditionalFormatting sqref="A4:XFD4">
    <cfRule type="expression" dxfId="15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59999389629810485"/>
  </sheetPr>
  <dimension ref="A1:Q19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42" sqref="A142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Rev allocation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H188 &amp; IF(H188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400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734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74"/>
    </row>
    <row r="11" spans="1:17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42"/>
    </row>
    <row r="12" spans="1:17" x14ac:dyDescent="0.25">
      <c r="A12" s="73"/>
      <c r="B12" s="107" t="s">
        <v>405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7"/>
      <c r="Q12" s="42"/>
    </row>
    <row r="13" spans="1:17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3"/>
      <c r="Q13" s="42"/>
    </row>
    <row r="14" spans="1:17" x14ac:dyDescent="0.25">
      <c r="A14" s="73"/>
      <c r="B14" s="73"/>
      <c r="C14" s="109" t="s">
        <v>762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101"/>
      <c r="C16" s="110" t="s">
        <v>650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0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73"/>
      <c r="C18" s="73"/>
      <c r="D18" s="109"/>
      <c r="E18" s="112" t="str">
        <f>'DNO inputs'!E354</f>
        <v>Price control allowed revenue, by component (2005/06 to 2009/10)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3"/>
      <c r="Q18" s="42"/>
    </row>
    <row r="19" spans="1:17" x14ac:dyDescent="0.25">
      <c r="A19" s="73"/>
      <c r="B19" s="73"/>
      <c r="C19" s="73"/>
      <c r="D19" s="73"/>
      <c r="E19" s="73"/>
      <c r="F19" s="113" t="str">
        <f>'DNO inputs'!F355</f>
        <v>Aggregate return allowance</v>
      </c>
      <c r="G19" s="113" t="str">
        <f>'DNO inputs'!G355</f>
        <v>£</v>
      </c>
      <c r="H19" s="156">
        <f>'DNO inputs'!H355</f>
        <v>290321179.89561594</v>
      </c>
      <c r="I19" s="130"/>
      <c r="J19" s="130"/>
      <c r="K19" s="130"/>
      <c r="L19" s="130"/>
      <c r="M19" s="130"/>
      <c r="N19" s="130"/>
      <c r="O19" s="74"/>
      <c r="P19" s="73"/>
      <c r="Q19" s="42"/>
    </row>
    <row r="20" spans="1:17" x14ac:dyDescent="0.25">
      <c r="A20" s="73"/>
      <c r="B20" s="73"/>
      <c r="C20" s="73"/>
      <c r="D20" s="73"/>
      <c r="E20" s="73"/>
      <c r="F20" s="115" t="str">
        <f>'DNO inputs'!F356</f>
        <v>Aggregate depreciation allowance</v>
      </c>
      <c r="G20" s="115" t="str">
        <f>'DNO inputs'!G356</f>
        <v>£</v>
      </c>
      <c r="H20" s="152">
        <f>'DNO inputs'!H356</f>
        <v>293900000.00000006</v>
      </c>
      <c r="I20" s="130"/>
      <c r="J20" s="130"/>
      <c r="K20" s="130"/>
      <c r="L20" s="130"/>
      <c r="M20" s="130"/>
      <c r="N20" s="130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7" t="str">
        <f>'DNO inputs'!F357</f>
        <v>Aggregate operating allowance</v>
      </c>
      <c r="G21" s="117" t="str">
        <f>'DNO inputs'!G357</f>
        <v>£</v>
      </c>
      <c r="H21" s="157">
        <f>'DNO inputs'!H357</f>
        <v>316402000.00000006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4"/>
      <c r="P22" s="73"/>
      <c r="Q22" s="42"/>
    </row>
    <row r="23" spans="1:17" x14ac:dyDescent="0.25">
      <c r="A23" s="115"/>
      <c r="B23" s="73"/>
      <c r="C23" s="73"/>
      <c r="D23" s="73"/>
      <c r="E23" s="115" t="s">
        <v>252</v>
      </c>
      <c r="F23" s="73"/>
      <c r="G23" s="115" t="str">
        <f>G$19</f>
        <v>£</v>
      </c>
      <c r="H23" s="130">
        <f>SUM(H19:H21)</f>
        <v>900623179.89561605</v>
      </c>
      <c r="I23" s="143" t="s">
        <v>314</v>
      </c>
      <c r="J23" s="130"/>
      <c r="K23" s="130"/>
      <c r="L23" s="130"/>
      <c r="M23" s="130"/>
      <c r="N23" s="130"/>
      <c r="O23" s="74"/>
      <c r="P23" s="115" t="s">
        <v>579</v>
      </c>
      <c r="Q23" s="42"/>
    </row>
    <row r="24" spans="1:17" x14ac:dyDescent="0.25">
      <c r="A24" s="73"/>
      <c r="B24" s="73"/>
      <c r="C24" s="73"/>
      <c r="D24" s="73"/>
      <c r="E24" s="109"/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3"/>
      <c r="Q24" s="42"/>
    </row>
    <row r="25" spans="1:17" x14ac:dyDescent="0.25">
      <c r="A25" s="73"/>
      <c r="B25" s="73"/>
      <c r="C25" s="73"/>
      <c r="D25" s="73"/>
      <c r="E25" s="115" t="s">
        <v>529</v>
      </c>
      <c r="F25" s="73"/>
      <c r="G25" s="115" t="s">
        <v>470</v>
      </c>
      <c r="H25" s="130" t="b">
        <f>H23 &gt; 0</f>
        <v>1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115"/>
      <c r="B27" s="73"/>
      <c r="C27" s="73"/>
      <c r="D27" s="73"/>
      <c r="E27" s="115" t="s">
        <v>253</v>
      </c>
      <c r="F27" s="73"/>
      <c r="G27" s="115" t="s">
        <v>44</v>
      </c>
      <c r="H27" s="135">
        <f>IF(H$25, H21 / H23, 0)</f>
        <v>0.35131451983799888</v>
      </c>
      <c r="I27" s="131" t="s">
        <v>314</v>
      </c>
      <c r="J27" s="135"/>
      <c r="K27" s="135"/>
      <c r="L27" s="135"/>
      <c r="M27" s="135"/>
      <c r="N27" s="135"/>
      <c r="O27" s="74"/>
      <c r="P27" s="115" t="s">
        <v>579</v>
      </c>
      <c r="Q27" s="42"/>
    </row>
    <row r="28" spans="1:17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115"/>
      <c r="B29" s="73"/>
      <c r="C29" s="73"/>
      <c r="D29" s="73"/>
      <c r="E29" s="115" t="s">
        <v>254</v>
      </c>
      <c r="F29" s="73"/>
      <c r="G29" s="115" t="s">
        <v>44</v>
      </c>
      <c r="H29" s="135">
        <f>IF(H25, (H19 + H20) / H23, 0)</f>
        <v>0.64868548016200112</v>
      </c>
      <c r="I29" s="131" t="s">
        <v>314</v>
      </c>
      <c r="J29" s="135"/>
      <c r="K29" s="135"/>
      <c r="L29" s="135"/>
      <c r="M29" s="135"/>
      <c r="N29" s="135"/>
      <c r="O29" s="74"/>
      <c r="P29" s="115" t="s">
        <v>579</v>
      </c>
      <c r="Q29" s="42"/>
    </row>
    <row r="30" spans="1:1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73"/>
      <c r="B31" s="101"/>
      <c r="C31" s="110" t="s">
        <v>651</v>
      </c>
      <c r="D31" s="110"/>
      <c r="E31" s="110"/>
      <c r="F31" s="110"/>
      <c r="G31" s="110"/>
      <c r="H31" s="111"/>
      <c r="I31" s="111"/>
      <c r="J31" s="111"/>
      <c r="K31" s="111"/>
      <c r="L31" s="111"/>
      <c r="M31" s="111"/>
      <c r="N31" s="111"/>
      <c r="O31" s="111"/>
      <c r="P31" s="110"/>
      <c r="Q31" s="42"/>
    </row>
    <row r="32" spans="1:17" x14ac:dyDescent="0.25">
      <c r="A32" s="73"/>
      <c r="B32" s="73"/>
      <c r="C32" s="109"/>
      <c r="D32" s="109"/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109"/>
      <c r="E33" s="115" t="str">
        <f>Expensed!E67</f>
        <v>Expensed proportions, by network level (EDCM)</v>
      </c>
      <c r="F33" s="73"/>
      <c r="G33" s="115" t="str">
        <f>Expensed!G68</f>
        <v>%</v>
      </c>
      <c r="H33" s="135"/>
      <c r="I33" s="135"/>
      <c r="J33" s="166">
        <f>Expensed!H68</f>
        <v>0.17996905981935982</v>
      </c>
      <c r="K33" s="166">
        <f>Expensed!H69</f>
        <v>0.3014258233431385</v>
      </c>
      <c r="L33" s="166">
        <f>Expensed!H70</f>
        <v>9.133057382922917E-2</v>
      </c>
      <c r="M33" s="166">
        <f>Expensed!H71</f>
        <v>0.23974676084772348</v>
      </c>
      <c r="N33" s="166">
        <f>Expensed!H72</f>
        <v>0.18752778216054919</v>
      </c>
      <c r="O33" s="74"/>
      <c r="P33" s="73"/>
      <c r="Q33" s="53"/>
    </row>
    <row r="34" spans="1:17" x14ac:dyDescent="0.25">
      <c r="A34" s="73"/>
      <c r="B34" s="73"/>
      <c r="C34" s="73"/>
      <c r="D34" s="73"/>
      <c r="E34" s="109"/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3"/>
      <c r="Q34" s="53"/>
    </row>
    <row r="35" spans="1:17" x14ac:dyDescent="0.25">
      <c r="A35" s="73"/>
      <c r="B35" s="73"/>
      <c r="C35" s="73"/>
      <c r="D35" s="73"/>
      <c r="E35" s="115" t="str">
        <f>Capitalised!E44</f>
        <v>Capitalised proportions, by network level (EDCM)</v>
      </c>
      <c r="F35" s="73"/>
      <c r="G35" s="115" t="str">
        <f>Capitalised!G44</f>
        <v>%</v>
      </c>
      <c r="H35" s="135"/>
      <c r="I35" s="135"/>
      <c r="J35" s="166">
        <f>Capitalised!J44</f>
        <v>7.4318608613495402E-2</v>
      </c>
      <c r="K35" s="166">
        <f>Capitalised!K44</f>
        <v>0.19361361300852106</v>
      </c>
      <c r="L35" s="166">
        <f>Capitalised!L44</f>
        <v>7.9349702057677052E-2</v>
      </c>
      <c r="M35" s="166">
        <f>Capitalised!M44</f>
        <v>0.29952695149537589</v>
      </c>
      <c r="N35" s="166">
        <f>Capitalised!N44</f>
        <v>0.35319112482493065</v>
      </c>
      <c r="O35" s="74"/>
      <c r="P35" s="73"/>
      <c r="Q35" s="42"/>
    </row>
    <row r="36" spans="1:17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4"/>
      <c r="P36" s="73"/>
      <c r="Q36" s="42"/>
    </row>
    <row r="37" spans="1:17" x14ac:dyDescent="0.25">
      <c r="A37" s="115"/>
      <c r="B37" s="73"/>
      <c r="C37" s="73"/>
      <c r="D37" s="73"/>
      <c r="E37" s="115" t="s">
        <v>403</v>
      </c>
      <c r="F37" s="73"/>
      <c r="G37" s="115" t="s">
        <v>44</v>
      </c>
      <c r="H37" s="135"/>
      <c r="I37" s="131" t="s">
        <v>314</v>
      </c>
      <c r="J37" s="135">
        <f>($H$27 * J33) + ($H$29 * J35)</f>
        <v>0.11143514614955159</v>
      </c>
      <c r="K37" s="135">
        <f>($H$27 * K33) + ($H$29 * K35)</f>
        <v>0.23148960791490053</v>
      </c>
      <c r="L37" s="135">
        <f>($H$27 * L33) + ($H$29 * L35)</f>
        <v>8.3558756271340517E-2</v>
      </c>
      <c r="M37" s="135">
        <f>($H$27 * M33) + ($H$29 * M35)</f>
        <v>0.27852530252217184</v>
      </c>
      <c r="N37" s="135">
        <f>($H$27 * N33) + ($H$29 * N35)</f>
        <v>0.29499118714203559</v>
      </c>
      <c r="O37" s="74"/>
      <c r="P37" s="115" t="s">
        <v>579</v>
      </c>
      <c r="Q37" s="42"/>
    </row>
    <row r="38" spans="1:17" x14ac:dyDescent="0.25">
      <c r="A38" s="73"/>
      <c r="B38" s="73"/>
      <c r="C38" s="73"/>
      <c r="D38" s="73"/>
      <c r="E38" s="109"/>
      <c r="F38" s="73"/>
      <c r="G38" s="73"/>
      <c r="H38" s="74"/>
      <c r="I38" s="74"/>
      <c r="J38" s="74"/>
      <c r="K38" s="74"/>
      <c r="L38" s="74"/>
      <c r="M38" s="74"/>
      <c r="N38" s="74"/>
      <c r="O38" s="74"/>
      <c r="P38" s="73"/>
      <c r="Q38" s="42"/>
    </row>
    <row r="39" spans="1:17" x14ac:dyDescent="0.25">
      <c r="A39" s="73"/>
      <c r="B39" s="73"/>
      <c r="C39" s="73"/>
      <c r="D39" s="73"/>
      <c r="E39" s="115" t="s">
        <v>239</v>
      </c>
      <c r="F39" s="73"/>
      <c r="G39" s="115" t="s">
        <v>231</v>
      </c>
      <c r="H39" s="186">
        <f>IF(SUM(J37:N37)= 1, 0, 1)</f>
        <v>0</v>
      </c>
      <c r="I39" s="136"/>
      <c r="J39" s="136"/>
      <c r="K39" s="136"/>
      <c r="L39" s="136"/>
      <c r="M39" s="136"/>
      <c r="N39" s="136"/>
      <c r="O39" s="74"/>
      <c r="P39" s="73"/>
      <c r="Q39" s="42"/>
    </row>
    <row r="40" spans="1:1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3"/>
      <c r="Q40" s="42"/>
    </row>
    <row r="41" spans="1:17" x14ac:dyDescent="0.25">
      <c r="A41" s="73"/>
      <c r="B41" s="101"/>
      <c r="C41" s="110" t="s">
        <v>652</v>
      </c>
      <c r="D41" s="110"/>
      <c r="E41" s="110"/>
      <c r="F41" s="110"/>
      <c r="G41" s="110"/>
      <c r="H41" s="111"/>
      <c r="I41" s="111"/>
      <c r="J41" s="111"/>
      <c r="K41" s="111"/>
      <c r="L41" s="111"/>
      <c r="M41" s="111"/>
      <c r="N41" s="111"/>
      <c r="O41" s="111"/>
      <c r="P41" s="110"/>
      <c r="Q41" s="42"/>
    </row>
    <row r="42" spans="1:17" x14ac:dyDescent="0.25">
      <c r="A42" s="73"/>
      <c r="B42" s="73"/>
      <c r="C42" s="109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3"/>
      <c r="Q42" s="42"/>
    </row>
    <row r="43" spans="1:17" x14ac:dyDescent="0.25">
      <c r="A43" s="73"/>
      <c r="B43" s="73"/>
      <c r="C43" s="73"/>
      <c r="D43" s="109"/>
      <c r="E43" s="115" t="str">
        <f>Expensed!E76</f>
        <v>Expensed proportions, by network level (CDCM)</v>
      </c>
      <c r="F43" s="73"/>
      <c r="G43" s="115" t="str">
        <f>Expensed!G77</f>
        <v>%</v>
      </c>
      <c r="H43" s="135"/>
      <c r="I43" s="135"/>
      <c r="J43" s="166">
        <f>Expensed!H77</f>
        <v>0.1821391015918605</v>
      </c>
      <c r="K43" s="166">
        <f>Expensed!H78</f>
        <v>0.30537665926393365</v>
      </c>
      <c r="L43" s="166">
        <f>Expensed!H79</f>
        <v>9.2304669198018149E-2</v>
      </c>
      <c r="M43" s="166">
        <f>Expensed!H80</f>
        <v>0.24322744889250572</v>
      </c>
      <c r="N43" s="166">
        <f>Expensed!H81</f>
        <v>0.17695212105368194</v>
      </c>
      <c r="O43" s="74"/>
      <c r="P43" s="73"/>
      <c r="Q43" s="42"/>
    </row>
    <row r="44" spans="1:17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4"/>
      <c r="K44" s="74"/>
      <c r="L44" s="74"/>
      <c r="M44" s="74"/>
      <c r="N44" s="74"/>
      <c r="O44" s="74"/>
      <c r="P44" s="73"/>
      <c r="Q44" s="42"/>
    </row>
    <row r="45" spans="1:17" x14ac:dyDescent="0.25">
      <c r="A45" s="73"/>
      <c r="B45" s="73"/>
      <c r="C45" s="73"/>
      <c r="D45" s="73"/>
      <c r="E45" s="115" t="str">
        <f>Capitalised!E62</f>
        <v>Capitalised proportions, by network level (CDCM)</v>
      </c>
      <c r="F45" s="73"/>
      <c r="G45" s="115" t="str">
        <f>Capitalised!G62</f>
        <v>%</v>
      </c>
      <c r="H45" s="135"/>
      <c r="I45" s="135"/>
      <c r="J45" s="166">
        <f>Capitalised!J62</f>
        <v>7.7008507080629979E-2</v>
      </c>
      <c r="K45" s="166">
        <f>Capitalised!K62</f>
        <v>0.20062129211560051</v>
      </c>
      <c r="L45" s="166">
        <f>Capitalised!L62</f>
        <v>8.2221696648460754E-2</v>
      </c>
      <c r="M45" s="166">
        <f>Capitalised!M62</f>
        <v>0.31036807329143973</v>
      </c>
      <c r="N45" s="166">
        <f>Capitalised!N62</f>
        <v>0.3297804308638691</v>
      </c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115"/>
      <c r="B47" s="73"/>
      <c r="C47" s="73"/>
      <c r="D47" s="73"/>
      <c r="E47" s="115" t="s">
        <v>404</v>
      </c>
      <c r="F47" s="73"/>
      <c r="G47" s="115" t="s">
        <v>44</v>
      </c>
      <c r="H47" s="135"/>
      <c r="I47" s="131" t="s">
        <v>314</v>
      </c>
      <c r="J47" s="135">
        <f>($H$27 * J43) + ($H$29 * J45)</f>
        <v>0.11394241141162628</v>
      </c>
      <c r="K47" s="135">
        <f>($H$27 * K43) + ($H$29 * K45)</f>
        <v>0.23742337362577046</v>
      </c>
      <c r="L47" s="135">
        <f>($H$27 * L43) + ($H$29 * L45)</f>
        <v>8.5763991308248244E-2</v>
      </c>
      <c r="M47" s="135">
        <f>($H$27 * M43) + ($H$29 * M45)</f>
        <v>0.28678059706910475</v>
      </c>
      <c r="N47" s="135">
        <f>($H$27 * N43) + ($H$29 * N45)</f>
        <v>0.27608962658525027</v>
      </c>
      <c r="O47" s="74"/>
      <c r="P47" s="115" t="s">
        <v>579</v>
      </c>
      <c r="Q47" s="42"/>
    </row>
    <row r="48" spans="1:17" x14ac:dyDescent="0.25">
      <c r="A48" s="73"/>
      <c r="B48" s="73"/>
      <c r="C48" s="73"/>
      <c r="D48" s="73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73"/>
      <c r="E49" s="115" t="s">
        <v>239</v>
      </c>
      <c r="F49" s="73"/>
      <c r="G49" s="115" t="s">
        <v>231</v>
      </c>
      <c r="H49" s="186">
        <f>IF(SUM(J47:N47)= 1, 0, 1)</f>
        <v>0</v>
      </c>
      <c r="I49" s="136"/>
      <c r="J49" s="136"/>
      <c r="K49" s="136"/>
      <c r="L49" s="136"/>
      <c r="M49" s="136"/>
      <c r="N49" s="136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107" t="s">
        <v>406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8"/>
      <c r="P51" s="107"/>
      <c r="Q51" s="42"/>
    </row>
    <row r="52" spans="1:17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3"/>
      <c r="Q52" s="42"/>
    </row>
    <row r="53" spans="1:17" x14ac:dyDescent="0.25">
      <c r="A53" s="73"/>
      <c r="B53" s="73"/>
      <c r="C53" s="109" t="s">
        <v>504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4"/>
      <c r="P53" s="73"/>
      <c r="Q53" s="42"/>
    </row>
    <row r="54" spans="1:17" x14ac:dyDescent="0.25">
      <c r="A54" s="73"/>
      <c r="B54" s="73"/>
      <c r="C54" s="109" t="s">
        <v>505</v>
      </c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3"/>
      <c r="Q54" s="42"/>
    </row>
    <row r="55" spans="1:17" x14ac:dyDescent="0.25">
      <c r="A55" s="73"/>
      <c r="B55" s="73"/>
      <c r="C55" s="109"/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3"/>
      <c r="Q55" s="42"/>
    </row>
    <row r="56" spans="1:17" x14ac:dyDescent="0.25">
      <c r="A56" s="73"/>
      <c r="B56" s="101"/>
      <c r="C56" s="110" t="s">
        <v>653</v>
      </c>
      <c r="D56" s="110"/>
      <c r="E56" s="110"/>
      <c r="F56" s="110"/>
      <c r="G56" s="110"/>
      <c r="H56" s="111"/>
      <c r="I56" s="111"/>
      <c r="J56" s="111"/>
      <c r="K56" s="111"/>
      <c r="L56" s="111"/>
      <c r="M56" s="111"/>
      <c r="N56" s="111"/>
      <c r="O56" s="111"/>
      <c r="P56" s="110"/>
      <c r="Q56" s="42"/>
    </row>
    <row r="57" spans="1:17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73"/>
      <c r="B58" s="73"/>
      <c r="C58" s="73"/>
      <c r="D58" s="109"/>
      <c r="E58" s="115" t="str">
        <f>'DNO inputs'!E363</f>
        <v>2007/08 total allowed revenue</v>
      </c>
      <c r="F58" s="73"/>
      <c r="G58" s="115" t="str">
        <f>'DNO inputs'!G363</f>
        <v>£ per year</v>
      </c>
      <c r="H58" s="152">
        <f>'DNO inputs'!H363</f>
        <v>219175380</v>
      </c>
      <c r="I58" s="130"/>
      <c r="J58" s="130"/>
      <c r="K58" s="130"/>
      <c r="L58" s="130"/>
      <c r="M58" s="130"/>
      <c r="N58" s="130"/>
      <c r="O58" s="74"/>
      <c r="P58" s="73"/>
      <c r="Q58" s="42"/>
    </row>
    <row r="59" spans="1:17" x14ac:dyDescent="0.25">
      <c r="A59" s="73"/>
      <c r="B59" s="73"/>
      <c r="C59" s="73"/>
      <c r="D59" s="73"/>
      <c r="E59" s="109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3"/>
      <c r="Q59" s="42"/>
    </row>
    <row r="60" spans="1:17" x14ac:dyDescent="0.25">
      <c r="A60" s="73"/>
      <c r="B60" s="73"/>
      <c r="C60" s="73"/>
      <c r="D60" s="73"/>
      <c r="E60" s="115" t="str">
        <f>'DNO inputs'!E369</f>
        <v>2007/08 net incentive revenue</v>
      </c>
      <c r="F60" s="73"/>
      <c r="G60" s="115" t="str">
        <f>'DNO inputs'!G369</f>
        <v>£ per year</v>
      </c>
      <c r="H60" s="152">
        <f>'DNO inputs'!H369</f>
        <v>7475332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73"/>
      <c r="B62" s="73"/>
      <c r="C62" s="73"/>
      <c r="D62" s="73"/>
      <c r="E62" s="115" t="s">
        <v>344</v>
      </c>
      <c r="F62" s="73"/>
      <c r="G62" s="115" t="s">
        <v>438</v>
      </c>
      <c r="H62" s="152">
        <f>'DNO inputs'!H274</f>
        <v>5167573.9700000007</v>
      </c>
      <c r="I62" s="130"/>
      <c r="J62" s="130"/>
      <c r="K62" s="130"/>
      <c r="L62" s="130"/>
      <c r="M62" s="130"/>
      <c r="N62" s="130"/>
      <c r="O62" s="74"/>
      <c r="P62" s="73"/>
      <c r="Q62" s="42"/>
    </row>
    <row r="63" spans="1:17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3"/>
      <c r="Q63" s="42"/>
    </row>
    <row r="64" spans="1:17" x14ac:dyDescent="0.25">
      <c r="A64" s="115"/>
      <c r="B64" s="73"/>
      <c r="C64" s="73"/>
      <c r="D64" s="73"/>
      <c r="E64" s="115" t="s">
        <v>255</v>
      </c>
      <c r="F64" s="73"/>
      <c r="G64" s="115" t="s">
        <v>438</v>
      </c>
      <c r="H64" s="130">
        <f>H60 + H62</f>
        <v>12642905.970000001</v>
      </c>
      <c r="I64" s="143" t="s">
        <v>314</v>
      </c>
      <c r="J64" s="130"/>
      <c r="K64" s="130"/>
      <c r="L64" s="130"/>
      <c r="M64" s="130"/>
      <c r="N64" s="130"/>
      <c r="O64" s="74"/>
      <c r="P64" s="115" t="s">
        <v>607</v>
      </c>
      <c r="Q64" s="42"/>
    </row>
    <row r="65" spans="1:17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3"/>
      <c r="Q65" s="42"/>
    </row>
    <row r="66" spans="1:17" x14ac:dyDescent="0.25">
      <c r="A66" s="115"/>
      <c r="B66" s="73"/>
      <c r="C66" s="73"/>
      <c r="D66" s="73"/>
      <c r="E66" s="115" t="s">
        <v>407</v>
      </c>
      <c r="F66" s="73"/>
      <c r="G66" s="115" t="s">
        <v>438</v>
      </c>
      <c r="H66" s="130">
        <f>H58 - H64</f>
        <v>206532474.03</v>
      </c>
      <c r="I66" s="143" t="s">
        <v>314</v>
      </c>
      <c r="J66" s="130"/>
      <c r="K66" s="130"/>
      <c r="L66" s="130"/>
      <c r="M66" s="130"/>
      <c r="N66" s="130"/>
      <c r="O66" s="74"/>
      <c r="P66" s="115" t="s">
        <v>572</v>
      </c>
      <c r="Q66" s="42"/>
    </row>
    <row r="67" spans="1:17" x14ac:dyDescent="0.25">
      <c r="A67" s="73"/>
      <c r="B67" s="73"/>
      <c r="C67" s="73"/>
      <c r="D67" s="73"/>
      <c r="E67" s="109"/>
      <c r="F67" s="73"/>
      <c r="G67" s="73"/>
      <c r="H67" s="74"/>
      <c r="I67" s="74"/>
      <c r="J67" s="74"/>
      <c r="K67" s="74"/>
      <c r="L67" s="74"/>
      <c r="M67" s="74"/>
      <c r="N67" s="74"/>
      <c r="O67" s="74"/>
      <c r="P67" s="73"/>
      <c r="Q67" s="42"/>
    </row>
    <row r="68" spans="1:17" x14ac:dyDescent="0.25">
      <c r="A68" s="115"/>
      <c r="B68" s="73"/>
      <c r="C68" s="73"/>
      <c r="D68" s="73"/>
      <c r="E68" s="112" t="s">
        <v>408</v>
      </c>
      <c r="F68" s="73"/>
      <c r="G68" s="73"/>
      <c r="H68" s="74"/>
      <c r="I68" s="132" t="s">
        <v>314</v>
      </c>
      <c r="J68" s="74"/>
      <c r="K68" s="74"/>
      <c r="L68" s="74"/>
      <c r="M68" s="74"/>
      <c r="N68" s="74"/>
      <c r="O68" s="74"/>
      <c r="P68" s="115" t="s">
        <v>580</v>
      </c>
      <c r="Q68" s="42"/>
    </row>
    <row r="69" spans="1:17" x14ac:dyDescent="0.25">
      <c r="A69" s="73"/>
      <c r="B69" s="73"/>
      <c r="C69" s="73"/>
      <c r="D69" s="73"/>
      <c r="E69" s="73"/>
      <c r="F69" s="113" t="s">
        <v>267</v>
      </c>
      <c r="G69" s="113" t="s">
        <v>438</v>
      </c>
      <c r="H69" s="145"/>
      <c r="I69" s="145"/>
      <c r="J69" s="158">
        <f>$H66 * J37</f>
        <v>23014976.428161521</v>
      </c>
      <c r="K69" s="158">
        <f>$H66 * K37</f>
        <v>47810121.434899077</v>
      </c>
      <c r="L69" s="158">
        <f>$H66 * L37</f>
        <v>17257596.659589734</v>
      </c>
      <c r="M69" s="158">
        <f>$H66 * M37</f>
        <v>57524519.809858352</v>
      </c>
      <c r="N69" s="158">
        <f>$H66 * N37</f>
        <v>60925259.697491333</v>
      </c>
      <c r="O69" s="74"/>
      <c r="P69" s="73"/>
      <c r="Q69" s="42"/>
    </row>
    <row r="70" spans="1:17" x14ac:dyDescent="0.25">
      <c r="A70" s="73"/>
      <c r="B70" s="73"/>
      <c r="C70" s="73"/>
      <c r="D70" s="73"/>
      <c r="E70" s="73"/>
      <c r="F70" s="117" t="s">
        <v>268</v>
      </c>
      <c r="G70" s="117" t="s">
        <v>438</v>
      </c>
      <c r="H70" s="146"/>
      <c r="I70" s="147"/>
      <c r="J70" s="147">
        <f>$H66 * J47</f>
        <v>23532808.12578728</v>
      </c>
      <c r="K70" s="147">
        <f>$H66 * K47</f>
        <v>49035636.747479424</v>
      </c>
      <c r="L70" s="147">
        <f>$H66 * L47</f>
        <v>17713049.307579927</v>
      </c>
      <c r="M70" s="147">
        <f>$H66 * M47</f>
        <v>59229506.216482773</v>
      </c>
      <c r="N70" s="147">
        <f>$H66 * N47</f>
        <v>57021473.632670596</v>
      </c>
      <c r="O70" s="74"/>
      <c r="P70" s="73"/>
      <c r="Q70" s="42"/>
    </row>
    <row r="71" spans="1:17" x14ac:dyDescent="0.25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3"/>
      <c r="Q71" s="42"/>
    </row>
    <row r="72" spans="1:17" x14ac:dyDescent="0.25">
      <c r="A72" s="73"/>
      <c r="B72" s="101"/>
      <c r="C72" s="110" t="s">
        <v>654</v>
      </c>
      <c r="D72" s="110"/>
      <c r="E72" s="110"/>
      <c r="F72" s="110"/>
      <c r="G72" s="110"/>
      <c r="H72" s="111"/>
      <c r="I72" s="111"/>
      <c r="J72" s="111"/>
      <c r="K72" s="111"/>
      <c r="L72" s="111"/>
      <c r="M72" s="111"/>
      <c r="N72" s="111"/>
      <c r="O72" s="111"/>
      <c r="P72" s="110"/>
      <c r="Q72" s="42"/>
    </row>
    <row r="73" spans="1:17" x14ac:dyDescent="0.25">
      <c r="A73" s="73"/>
      <c r="B73" s="73"/>
      <c r="C73" s="109"/>
      <c r="D73" s="109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3"/>
      <c r="Q73" s="42"/>
    </row>
    <row r="74" spans="1:17" x14ac:dyDescent="0.25">
      <c r="A74" s="73"/>
      <c r="B74" s="73"/>
      <c r="C74" s="73"/>
      <c r="D74" s="109"/>
      <c r="E74" s="115" t="str">
        <f>'DNO inputs'!E376</f>
        <v>Additional DNO revenue</v>
      </c>
      <c r="F74" s="73"/>
      <c r="G74" s="115" t="str">
        <f>'DNO inputs'!G376</f>
        <v>£ per year</v>
      </c>
      <c r="H74" s="152">
        <f>'DNO inputs'!H376</f>
        <v>6129999.9999999991</v>
      </c>
      <c r="I74" s="130"/>
      <c r="J74" s="130"/>
      <c r="K74" s="130"/>
      <c r="L74" s="130"/>
      <c r="M74" s="130"/>
      <c r="N74" s="130"/>
      <c r="O74" s="74"/>
      <c r="P74" s="73"/>
      <c r="Q74" s="42"/>
    </row>
    <row r="75" spans="1:17" x14ac:dyDescent="0.25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3"/>
      <c r="Q75" s="42"/>
    </row>
    <row r="76" spans="1:17" x14ac:dyDescent="0.25">
      <c r="A76" s="115"/>
      <c r="B76" s="73"/>
      <c r="C76" s="73"/>
      <c r="D76" s="73"/>
      <c r="E76" s="112" t="s">
        <v>348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115" t="s">
        <v>581</v>
      </c>
      <c r="Q76" s="42"/>
    </row>
    <row r="77" spans="1:17" x14ac:dyDescent="0.25">
      <c r="A77" s="73"/>
      <c r="B77" s="73"/>
      <c r="C77" s="73"/>
      <c r="D77" s="73"/>
      <c r="E77" s="73"/>
      <c r="F77" s="113" t="s">
        <v>267</v>
      </c>
      <c r="G77" s="113" t="s">
        <v>438</v>
      </c>
      <c r="H77" s="145"/>
      <c r="I77" s="145"/>
      <c r="J77" s="158">
        <f>$H74 * J33</f>
        <v>1103210.3366926755</v>
      </c>
      <c r="K77" s="158">
        <f>$H74 * K33</f>
        <v>1847740.2970934387</v>
      </c>
      <c r="L77" s="158">
        <f>$H74 * L33</f>
        <v>559856.41757317469</v>
      </c>
      <c r="M77" s="158">
        <f>$H74 * M33</f>
        <v>1469647.6439965446</v>
      </c>
      <c r="N77" s="158">
        <f>$H74 * N33</f>
        <v>1149545.3046441663</v>
      </c>
      <c r="O77" s="74"/>
      <c r="P77" s="73"/>
      <c r="Q77" s="42"/>
    </row>
    <row r="78" spans="1:17" x14ac:dyDescent="0.25">
      <c r="A78" s="73"/>
      <c r="B78" s="73"/>
      <c r="C78" s="73"/>
      <c r="D78" s="73"/>
      <c r="E78" s="73"/>
      <c r="F78" s="117" t="s">
        <v>268</v>
      </c>
      <c r="G78" s="117" t="s">
        <v>438</v>
      </c>
      <c r="H78" s="146"/>
      <c r="I78" s="147"/>
      <c r="J78" s="147">
        <f>$H74 * J43</f>
        <v>1116512.6927581048</v>
      </c>
      <c r="K78" s="147">
        <f>$H74 * K43</f>
        <v>1871958.9212879129</v>
      </c>
      <c r="L78" s="147">
        <f>$H74 * L43</f>
        <v>565827.6221838512</v>
      </c>
      <c r="M78" s="147">
        <f>$H74 * M43</f>
        <v>1490984.2617110598</v>
      </c>
      <c r="N78" s="147">
        <f>$H74 * N43</f>
        <v>1084716.5020590702</v>
      </c>
      <c r="O78" s="74"/>
      <c r="P78" s="73"/>
      <c r="Q78" s="42"/>
    </row>
    <row r="79" spans="1:17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3"/>
      <c r="Q79" s="42"/>
    </row>
    <row r="80" spans="1:17" x14ac:dyDescent="0.25">
      <c r="A80" s="73"/>
      <c r="B80" s="101"/>
      <c r="C80" s="110" t="s">
        <v>655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0"/>
      <c r="Q80" s="42"/>
    </row>
    <row r="81" spans="1:17" x14ac:dyDescent="0.25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3"/>
      <c r="Q81" s="42"/>
    </row>
    <row r="82" spans="1:17" x14ac:dyDescent="0.25">
      <c r="A82" s="115"/>
      <c r="B82" s="73"/>
      <c r="C82" s="73"/>
      <c r="D82" s="109"/>
      <c r="E82" s="112" t="s">
        <v>345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115" t="s">
        <v>581</v>
      </c>
      <c r="Q82" s="42"/>
    </row>
    <row r="83" spans="1:17" x14ac:dyDescent="0.25">
      <c r="A83" s="73"/>
      <c r="B83" s="73"/>
      <c r="C83" s="73"/>
      <c r="D83" s="73"/>
      <c r="E83" s="73"/>
      <c r="F83" s="113" t="s">
        <v>267</v>
      </c>
      <c r="G83" s="113" t="s">
        <v>438</v>
      </c>
      <c r="H83" s="145"/>
      <c r="I83" s="145"/>
      <c r="J83" s="145">
        <f t="shared" ref="J83:N84" si="0">J69 + J77</f>
        <v>24118186.764854196</v>
      </c>
      <c r="K83" s="145">
        <f t="shared" si="0"/>
        <v>49657861.731992513</v>
      </c>
      <c r="L83" s="145">
        <f t="shared" si="0"/>
        <v>17817453.07716291</v>
      </c>
      <c r="M83" s="145">
        <f t="shared" si="0"/>
        <v>58994167.453854896</v>
      </c>
      <c r="N83" s="145">
        <f t="shared" si="0"/>
        <v>62074805.0021355</v>
      </c>
      <c r="O83" s="74"/>
      <c r="P83" s="73"/>
      <c r="Q83" s="42"/>
    </row>
    <row r="84" spans="1:17" x14ac:dyDescent="0.25">
      <c r="A84" s="73"/>
      <c r="B84" s="73"/>
      <c r="C84" s="73"/>
      <c r="D84" s="73"/>
      <c r="E84" s="73"/>
      <c r="F84" s="117" t="s">
        <v>268</v>
      </c>
      <c r="G84" s="117" t="s">
        <v>438</v>
      </c>
      <c r="H84" s="146"/>
      <c r="I84" s="147"/>
      <c r="J84" s="147">
        <f t="shared" si="0"/>
        <v>24649320.818545386</v>
      </c>
      <c r="K84" s="147">
        <f t="shared" si="0"/>
        <v>50907595.668767333</v>
      </c>
      <c r="L84" s="147">
        <f t="shared" si="0"/>
        <v>18278876.929763779</v>
      </c>
      <c r="M84" s="147">
        <f t="shared" si="0"/>
        <v>60720490.478193834</v>
      </c>
      <c r="N84" s="147">
        <f t="shared" si="0"/>
        <v>58106190.134729668</v>
      </c>
      <c r="O84" s="74"/>
      <c r="P84" s="73"/>
      <c r="Q84" s="42"/>
    </row>
    <row r="85" spans="1:17" x14ac:dyDescent="0.25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3"/>
      <c r="Q85" s="42"/>
    </row>
    <row r="86" spans="1:17" x14ac:dyDescent="0.25">
      <c r="A86" s="73"/>
      <c r="B86" s="107" t="s">
        <v>256</v>
      </c>
      <c r="C86" s="107"/>
      <c r="D86" s="107"/>
      <c r="E86" s="107"/>
      <c r="F86" s="107"/>
      <c r="G86" s="107"/>
      <c r="H86" s="108"/>
      <c r="I86" s="108"/>
      <c r="J86" s="108"/>
      <c r="K86" s="108"/>
      <c r="L86" s="108"/>
      <c r="M86" s="108"/>
      <c r="N86" s="108"/>
      <c r="O86" s="108"/>
      <c r="P86" s="107"/>
      <c r="Q86" s="42"/>
    </row>
    <row r="87" spans="1:17" x14ac:dyDescent="0.25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3"/>
      <c r="Q87" s="42"/>
    </row>
    <row r="88" spans="1:17" x14ac:dyDescent="0.25">
      <c r="A88" s="73"/>
      <c r="B88" s="73"/>
      <c r="C88" s="109" t="s">
        <v>720</v>
      </c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3"/>
      <c r="Q88" s="42"/>
    </row>
    <row r="89" spans="1:17" x14ac:dyDescent="0.25">
      <c r="A89" s="73"/>
      <c r="B89" s="73"/>
      <c r="C89" s="109"/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4"/>
      <c r="P89" s="73"/>
      <c r="Q89" s="42"/>
    </row>
    <row r="90" spans="1:17" s="1" customFormat="1" x14ac:dyDescent="0.25">
      <c r="A90" s="73"/>
      <c r="B90" s="101"/>
      <c r="C90" s="110" t="s">
        <v>656</v>
      </c>
      <c r="D90" s="110"/>
      <c r="E90" s="110"/>
      <c r="F90" s="110"/>
      <c r="G90" s="110"/>
      <c r="H90" s="111"/>
      <c r="I90" s="111"/>
      <c r="J90" s="111"/>
      <c r="K90" s="111"/>
      <c r="L90" s="111"/>
      <c r="M90" s="111"/>
      <c r="N90" s="111"/>
      <c r="O90" s="111"/>
      <c r="P90" s="110"/>
      <c r="Q90" s="42"/>
    </row>
    <row r="91" spans="1:17" s="1" customFormat="1" x14ac:dyDescent="0.25">
      <c r="A91" s="73"/>
      <c r="B91" s="73"/>
      <c r="C91" s="109"/>
      <c r="D91" s="109"/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4"/>
      <c r="P91" s="73"/>
      <c r="Q91" s="42"/>
    </row>
    <row r="92" spans="1:17" x14ac:dyDescent="0.25">
      <c r="A92" s="73"/>
      <c r="B92" s="73"/>
      <c r="C92" s="73"/>
      <c r="D92" s="73"/>
      <c r="E92" s="112" t="str">
        <f>'DNO inputs'!E382</f>
        <v>2007/08 units distributed, by network level</v>
      </c>
      <c r="F92" s="73"/>
      <c r="G92" s="73"/>
      <c r="H92" s="74"/>
      <c r="I92" s="74"/>
      <c r="J92" s="74"/>
      <c r="K92" s="74"/>
      <c r="L92" s="74"/>
      <c r="M92" s="74"/>
      <c r="N92" s="74"/>
      <c r="O92" s="74"/>
      <c r="P92" s="73"/>
      <c r="Q92" s="42"/>
    </row>
    <row r="93" spans="1:17" x14ac:dyDescent="0.25">
      <c r="A93" s="73"/>
      <c r="B93" s="73"/>
      <c r="C93" s="73"/>
      <c r="D93" s="73"/>
      <c r="E93" s="73"/>
      <c r="F93" s="113" t="str">
        <f>'DNO inputs'!F383</f>
        <v>EHV and 132kV</v>
      </c>
      <c r="G93" s="113" t="str">
        <f>'DNO inputs'!G383</f>
        <v>GWh per year</v>
      </c>
      <c r="H93" s="156">
        <f>'DNO inputs'!H383</f>
        <v>519.3929296</v>
      </c>
      <c r="I93" s="130"/>
      <c r="J93" s="130"/>
      <c r="K93" s="130"/>
      <c r="L93" s="130"/>
      <c r="M93" s="130"/>
      <c r="N93" s="130"/>
      <c r="O93" s="74"/>
      <c r="P93" s="73"/>
      <c r="Q93" s="42"/>
    </row>
    <row r="94" spans="1:17" x14ac:dyDescent="0.25">
      <c r="A94" s="73"/>
      <c r="B94" s="73"/>
      <c r="C94" s="73"/>
      <c r="D94" s="73"/>
      <c r="E94" s="73"/>
      <c r="F94" s="115" t="str">
        <f>'DNO inputs'!F384</f>
        <v>HV</v>
      </c>
      <c r="G94" s="115" t="str">
        <f>'DNO inputs'!G384</f>
        <v>GWh per year</v>
      </c>
      <c r="H94" s="152">
        <f>'DNO inputs'!H384</f>
        <v>3560.4307964999998</v>
      </c>
      <c r="I94" s="130"/>
      <c r="J94" s="130"/>
      <c r="K94" s="130"/>
      <c r="L94" s="130"/>
      <c r="M94" s="130"/>
      <c r="N94" s="130"/>
      <c r="O94" s="74"/>
      <c r="P94" s="73"/>
      <c r="Q94" s="42"/>
    </row>
    <row r="95" spans="1:17" x14ac:dyDescent="0.25">
      <c r="A95" s="73"/>
      <c r="B95" s="73"/>
      <c r="C95" s="73"/>
      <c r="D95" s="73"/>
      <c r="E95" s="73"/>
      <c r="F95" s="117" t="str">
        <f>'DNO inputs'!F385</f>
        <v>LV</v>
      </c>
      <c r="G95" s="117" t="str">
        <f>'DNO inputs'!G385</f>
        <v>GWh per year</v>
      </c>
      <c r="H95" s="157">
        <f>'DNO inputs'!H385</f>
        <v>11135.698339690003</v>
      </c>
      <c r="I95" s="130"/>
      <c r="J95" s="130"/>
      <c r="K95" s="130"/>
      <c r="L95" s="130"/>
      <c r="M95" s="130"/>
      <c r="N95" s="130"/>
      <c r="O95" s="74"/>
      <c r="P95" s="73"/>
      <c r="Q95" s="42"/>
    </row>
    <row r="96" spans="1:17" x14ac:dyDescent="0.25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3"/>
      <c r="Q96" s="42"/>
    </row>
    <row r="97" spans="1:17" x14ac:dyDescent="0.25">
      <c r="A97" s="73"/>
      <c r="B97" s="73"/>
      <c r="C97" s="73"/>
      <c r="D97" s="73"/>
      <c r="E97" s="112" t="str">
        <f>'Fixed inputs'!E376</f>
        <v>Units distributed coefficient for the calculation of "U", by network level</v>
      </c>
      <c r="F97" s="73"/>
      <c r="G97" s="73"/>
      <c r="H97" s="74"/>
      <c r="I97" s="74"/>
      <c r="J97" s="74"/>
      <c r="K97" s="74"/>
      <c r="L97" s="74"/>
      <c r="M97" s="74"/>
      <c r="N97" s="74"/>
      <c r="O97" s="74"/>
      <c r="P97" s="73"/>
      <c r="Q97" s="42"/>
    </row>
    <row r="98" spans="1:17" x14ac:dyDescent="0.25">
      <c r="A98" s="73"/>
      <c r="B98" s="73"/>
      <c r="C98" s="73"/>
      <c r="D98" s="73"/>
      <c r="E98" s="73"/>
      <c r="F98" s="113" t="str">
        <f>'Fixed inputs'!F377</f>
        <v>EHV and 132kV</v>
      </c>
      <c r="G98" s="113" t="str">
        <f>'Fixed inputs'!G377</f>
        <v>scalar</v>
      </c>
      <c r="H98" s="156">
        <f>'Fixed inputs'!H377</f>
        <v>0.25</v>
      </c>
      <c r="I98" s="130"/>
      <c r="J98" s="130"/>
      <c r="K98" s="130"/>
      <c r="L98" s="130"/>
      <c r="M98" s="130"/>
      <c r="N98" s="130"/>
      <c r="O98" s="74"/>
      <c r="P98" s="73"/>
      <c r="Q98" s="42"/>
    </row>
    <row r="99" spans="1:17" x14ac:dyDescent="0.25">
      <c r="A99" s="73"/>
      <c r="B99" s="73"/>
      <c r="C99" s="73"/>
      <c r="D99" s="73"/>
      <c r="E99" s="73"/>
      <c r="F99" s="115" t="str">
        <f>'Fixed inputs'!F378</f>
        <v>HV</v>
      </c>
      <c r="G99" s="115" t="str">
        <f>'Fixed inputs'!G378</f>
        <v>scalar</v>
      </c>
      <c r="H99" s="152">
        <f>'Fixed inputs'!H378</f>
        <v>0.5</v>
      </c>
      <c r="I99" s="130"/>
      <c r="J99" s="130"/>
      <c r="K99" s="130"/>
      <c r="L99" s="130"/>
      <c r="M99" s="130"/>
      <c r="N99" s="130"/>
      <c r="O99" s="74"/>
      <c r="P99" s="73"/>
      <c r="Q99" s="42"/>
    </row>
    <row r="100" spans="1:17" x14ac:dyDescent="0.25">
      <c r="A100" s="73"/>
      <c r="B100" s="73"/>
      <c r="C100" s="73"/>
      <c r="D100" s="73"/>
      <c r="E100" s="73"/>
      <c r="F100" s="117" t="str">
        <f>'Fixed inputs'!F379</f>
        <v>LV</v>
      </c>
      <c r="G100" s="117" t="str">
        <f>'Fixed inputs'!G379</f>
        <v>scalar</v>
      </c>
      <c r="H100" s="157">
        <f>'Fixed inputs'!H379</f>
        <v>1</v>
      </c>
      <c r="I100" s="130"/>
      <c r="J100" s="130"/>
      <c r="K100" s="130"/>
      <c r="L100" s="130"/>
      <c r="M100" s="130"/>
      <c r="N100" s="130"/>
      <c r="O100" s="74"/>
      <c r="P100" s="73"/>
      <c r="Q100" s="42"/>
    </row>
    <row r="101" spans="1:17" x14ac:dyDescent="0.25">
      <c r="A101" s="73"/>
      <c r="B101" s="73"/>
      <c r="C101" s="73"/>
      <c r="D101" s="73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3"/>
      <c r="Q101" s="42"/>
    </row>
    <row r="102" spans="1:17" x14ac:dyDescent="0.25">
      <c r="A102" s="115"/>
      <c r="B102" s="73"/>
      <c r="C102" s="73"/>
      <c r="D102" s="73"/>
      <c r="E102" s="115" t="s">
        <v>257</v>
      </c>
      <c r="F102" s="73"/>
      <c r="G102" s="115" t="s">
        <v>258</v>
      </c>
      <c r="H102" s="130">
        <f>SUMPRODUCT(H98:H100, H93:H95)</f>
        <v>13045.761970340003</v>
      </c>
      <c r="I102" s="143" t="s">
        <v>314</v>
      </c>
      <c r="J102" s="130"/>
      <c r="K102" s="130"/>
      <c r="L102" s="130"/>
      <c r="M102" s="130"/>
      <c r="N102" s="130"/>
      <c r="O102" s="74"/>
      <c r="P102" s="115" t="s">
        <v>568</v>
      </c>
      <c r="Q102" s="42"/>
    </row>
    <row r="103" spans="1:17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4"/>
      <c r="P103" s="73"/>
      <c r="Q103" s="42"/>
    </row>
    <row r="104" spans="1:17" x14ac:dyDescent="0.25">
      <c r="A104" s="73"/>
      <c r="B104" s="73"/>
      <c r="C104" s="73"/>
      <c r="D104" s="73"/>
      <c r="E104" s="115" t="str">
        <f>'DNO inputs'!E391</f>
        <v>2007/08 network losses</v>
      </c>
      <c r="F104" s="73"/>
      <c r="G104" s="115" t="str">
        <f>'DNO inputs'!G391</f>
        <v>GWh per year</v>
      </c>
      <c r="H104" s="152">
        <f>'DNO inputs'!H391</f>
        <v>1023.462</v>
      </c>
      <c r="I104" s="130"/>
      <c r="J104" s="130"/>
      <c r="K104" s="130"/>
      <c r="L104" s="130"/>
      <c r="M104" s="130"/>
      <c r="N104" s="130"/>
      <c r="O104" s="74"/>
      <c r="P104" s="73"/>
      <c r="Q104" s="42"/>
    </row>
    <row r="105" spans="1:17" x14ac:dyDescent="0.25">
      <c r="A105" s="73"/>
      <c r="B105" s="73"/>
      <c r="C105" s="73"/>
      <c r="D105" s="73"/>
      <c r="E105" s="109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3"/>
      <c r="Q105" s="42"/>
    </row>
    <row r="106" spans="1:17" x14ac:dyDescent="0.25">
      <c r="A106" s="73"/>
      <c r="B106" s="73"/>
      <c r="C106" s="73"/>
      <c r="D106" s="73"/>
      <c r="E106" s="115" t="s">
        <v>530</v>
      </c>
      <c r="F106" s="73"/>
      <c r="G106" s="115" t="s">
        <v>470</v>
      </c>
      <c r="H106" s="130" t="b">
        <f>H102 + H104 &gt; 0</f>
        <v>1</v>
      </c>
      <c r="I106" s="130"/>
      <c r="J106" s="130"/>
      <c r="K106" s="130"/>
      <c r="L106" s="130"/>
      <c r="M106" s="130"/>
      <c r="N106" s="130"/>
      <c r="O106" s="74"/>
      <c r="P106" s="73"/>
      <c r="Q106" s="42"/>
    </row>
    <row r="107" spans="1:17" x14ac:dyDescent="0.25">
      <c r="A107" s="73"/>
      <c r="B107" s="73"/>
      <c r="C107" s="73"/>
      <c r="D107" s="73"/>
      <c r="E107" s="109"/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3"/>
      <c r="Q107" s="42"/>
    </row>
    <row r="108" spans="1:17" x14ac:dyDescent="0.25">
      <c r="A108" s="73"/>
      <c r="B108" s="73"/>
      <c r="C108" s="73"/>
      <c r="D108" s="73"/>
      <c r="E108" s="112" t="str">
        <f>'Fixed inputs'!E385</f>
        <v>Losses coefficient for the calculation of adjustment factors for units distributed, by network level</v>
      </c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3"/>
      <c r="Q108" s="42"/>
    </row>
    <row r="109" spans="1:17" x14ac:dyDescent="0.25">
      <c r="A109" s="73"/>
      <c r="B109" s="73"/>
      <c r="C109" s="73"/>
      <c r="D109" s="73"/>
      <c r="E109" s="73"/>
      <c r="F109" s="113" t="str">
        <f>'Fixed inputs'!F386</f>
        <v>EHV and 132kV</v>
      </c>
      <c r="G109" s="113" t="str">
        <f>'Fixed inputs'!G386</f>
        <v>scalar</v>
      </c>
      <c r="H109" s="156">
        <f>'Fixed inputs'!H386</f>
        <v>0.25</v>
      </c>
      <c r="I109" s="130"/>
      <c r="J109" s="130"/>
      <c r="K109" s="130"/>
      <c r="L109" s="130"/>
      <c r="M109" s="130"/>
      <c r="N109" s="130"/>
      <c r="O109" s="74"/>
      <c r="P109" s="73"/>
      <c r="Q109" s="42"/>
    </row>
    <row r="110" spans="1:17" x14ac:dyDescent="0.25">
      <c r="A110" s="73"/>
      <c r="B110" s="73"/>
      <c r="C110" s="73"/>
      <c r="D110" s="73"/>
      <c r="E110" s="73"/>
      <c r="F110" s="115" t="str">
        <f>'Fixed inputs'!F387</f>
        <v>HV</v>
      </c>
      <c r="G110" s="115" t="str">
        <f>'Fixed inputs'!G387</f>
        <v>scalar</v>
      </c>
      <c r="H110" s="152">
        <f>'Fixed inputs'!H387</f>
        <v>0.5</v>
      </c>
      <c r="I110" s="130"/>
      <c r="J110" s="130"/>
      <c r="K110" s="130"/>
      <c r="L110" s="130"/>
      <c r="M110" s="130"/>
      <c r="N110" s="130"/>
      <c r="O110" s="74"/>
      <c r="P110" s="73"/>
      <c r="Q110" s="42"/>
    </row>
    <row r="111" spans="1:17" x14ac:dyDescent="0.25">
      <c r="A111" s="73"/>
      <c r="B111" s="73"/>
      <c r="C111" s="73"/>
      <c r="D111" s="73"/>
      <c r="E111" s="73"/>
      <c r="F111" s="117" t="str">
        <f>'Fixed inputs'!F388</f>
        <v>LV</v>
      </c>
      <c r="G111" s="117" t="str">
        <f>'Fixed inputs'!G388</f>
        <v>scalar</v>
      </c>
      <c r="H111" s="187"/>
      <c r="I111" s="130"/>
      <c r="J111" s="130"/>
      <c r="K111" s="130"/>
      <c r="L111" s="130"/>
      <c r="M111" s="130"/>
      <c r="N111" s="130"/>
      <c r="O111" s="74"/>
      <c r="P111" s="73"/>
      <c r="Q111" s="42"/>
    </row>
    <row r="112" spans="1:17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3"/>
      <c r="Q112" s="42"/>
    </row>
    <row r="113" spans="1:17" x14ac:dyDescent="0.25">
      <c r="A113" s="73"/>
      <c r="B113" s="73"/>
      <c r="C113" s="73"/>
      <c r="D113" s="73"/>
      <c r="E113" s="112" t="s">
        <v>259</v>
      </c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3"/>
      <c r="Q113" s="42"/>
    </row>
    <row r="114" spans="1:17" x14ac:dyDescent="0.25">
      <c r="A114" s="115"/>
      <c r="B114" s="73"/>
      <c r="C114" s="73"/>
      <c r="D114" s="73"/>
      <c r="E114" s="73"/>
      <c r="F114" s="113" t="s">
        <v>541</v>
      </c>
      <c r="G114" s="113" t="s">
        <v>179</v>
      </c>
      <c r="H114" s="145"/>
      <c r="I114" s="188" t="s">
        <v>314</v>
      </c>
      <c r="J114" s="133"/>
      <c r="K114" s="133"/>
      <c r="L114" s="133"/>
      <c r="M114" s="133"/>
      <c r="N114" s="189">
        <f>IF($H$106, ($H$102 + $H109 * $H$104) / ($H$102 + $H$104), N$116)</f>
        <v>0.94544144711760891</v>
      </c>
      <c r="O114" s="74"/>
      <c r="P114" s="115" t="s">
        <v>568</v>
      </c>
      <c r="Q114" s="42"/>
    </row>
    <row r="115" spans="1:17" x14ac:dyDescent="0.25">
      <c r="A115" s="115"/>
      <c r="B115" s="73"/>
      <c r="C115" s="73"/>
      <c r="D115" s="73"/>
      <c r="E115" s="73"/>
      <c r="F115" s="115" t="s">
        <v>542</v>
      </c>
      <c r="G115" s="115" t="s">
        <v>179</v>
      </c>
      <c r="H115" s="130"/>
      <c r="I115" s="143" t="s">
        <v>314</v>
      </c>
      <c r="J115" s="160"/>
      <c r="K115" s="160"/>
      <c r="L115" s="160"/>
      <c r="M115" s="190">
        <f>IF($H$106, ($H$102 + $H110 * $H$104) / ($H$102 + $H$104), M$116)</f>
        <v>0.96362763141173924</v>
      </c>
      <c r="N115" s="190">
        <f>IF($H$106, ($H$102 + $H110 * $H$104) / ($H$102 + $H$104), N$116)</f>
        <v>0.96362763141173924</v>
      </c>
      <c r="O115" s="74"/>
      <c r="P115" s="115" t="s">
        <v>568</v>
      </c>
      <c r="Q115" s="42"/>
    </row>
    <row r="116" spans="1:17" x14ac:dyDescent="0.25">
      <c r="A116" s="115"/>
      <c r="B116" s="73"/>
      <c r="C116" s="73"/>
      <c r="D116" s="73"/>
      <c r="E116" s="73"/>
      <c r="F116" s="117" t="s">
        <v>543</v>
      </c>
      <c r="G116" s="117" t="s">
        <v>179</v>
      </c>
      <c r="H116" s="146"/>
      <c r="I116" s="191" t="s">
        <v>314</v>
      </c>
      <c r="J116" s="41">
        <v>1</v>
      </c>
      <c r="K116" s="41">
        <v>1</v>
      </c>
      <c r="L116" s="41">
        <v>1</v>
      </c>
      <c r="M116" s="41">
        <v>1</v>
      </c>
      <c r="N116" s="41">
        <v>1</v>
      </c>
      <c r="O116" s="74"/>
      <c r="P116" s="115" t="s">
        <v>568</v>
      </c>
      <c r="Q116" s="42"/>
    </row>
    <row r="117" spans="1:17" x14ac:dyDescent="0.25">
      <c r="A117" s="73"/>
      <c r="B117" s="73"/>
      <c r="C117" s="73"/>
      <c r="D117" s="73"/>
      <c r="E117" s="73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3"/>
      <c r="Q117" s="42"/>
    </row>
    <row r="118" spans="1:17" x14ac:dyDescent="0.25">
      <c r="A118" s="115"/>
      <c r="B118" s="73"/>
      <c r="C118" s="73"/>
      <c r="D118" s="73"/>
      <c r="E118" s="115" t="s">
        <v>260</v>
      </c>
      <c r="F118" s="73"/>
      <c r="G118" s="115" t="str">
        <f>'DNO inputs'!G391</f>
        <v>GWh per year</v>
      </c>
      <c r="H118" s="130"/>
      <c r="I118" s="143" t="s">
        <v>314</v>
      </c>
      <c r="J118" s="130">
        <f>SUMPRODUCT($H93:$H95, J114:J116)</f>
        <v>11135.698339690003</v>
      </c>
      <c r="K118" s="130">
        <f>SUMPRODUCT($H93:$H95, K114:K116)</f>
        <v>11135.698339690003</v>
      </c>
      <c r="L118" s="130">
        <f>SUMPRODUCT($H93:$H95, L114:L116)</f>
        <v>11135.698339690003</v>
      </c>
      <c r="M118" s="130">
        <f>SUMPRODUCT($H93:$H95, M114:M116)</f>
        <v>14566.62783492671</v>
      </c>
      <c r="N118" s="130">
        <f>SUMPRODUCT($H93:$H95, N114:N116)</f>
        <v>15057.683437910389</v>
      </c>
      <c r="O118" s="74"/>
      <c r="P118" s="115" t="s">
        <v>582</v>
      </c>
      <c r="Q118" s="42"/>
    </row>
    <row r="119" spans="1:1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3"/>
      <c r="Q119" s="42"/>
    </row>
    <row r="120" spans="1:17" x14ac:dyDescent="0.25">
      <c r="A120" s="73"/>
      <c r="B120" s="73"/>
      <c r="C120" s="73"/>
      <c r="D120" s="73"/>
      <c r="E120" s="115" t="s">
        <v>471</v>
      </c>
      <c r="F120" s="73"/>
      <c r="G120" s="115" t="s">
        <v>470</v>
      </c>
      <c r="H120" s="130"/>
      <c r="I120" s="130"/>
      <c r="J120" s="130" t="b">
        <f>J118 &gt; 0</f>
        <v>1</v>
      </c>
      <c r="K120" s="130" t="b">
        <f>K118 &gt; 0</f>
        <v>1</v>
      </c>
      <c r="L120" s="130" t="b">
        <f>L118 &gt; 0</f>
        <v>1</v>
      </c>
      <c r="M120" s="130" t="b">
        <f>M118 &gt; 0</f>
        <v>1</v>
      </c>
      <c r="N120" s="130" t="b">
        <f>N118 &gt; 0</f>
        <v>1</v>
      </c>
      <c r="O120" s="74"/>
      <c r="P120" s="73"/>
      <c r="Q120" s="42"/>
    </row>
    <row r="121" spans="1:17" x14ac:dyDescent="0.25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3"/>
      <c r="Q121" s="42"/>
    </row>
    <row r="122" spans="1:17" x14ac:dyDescent="0.25">
      <c r="A122" s="73"/>
      <c r="B122" s="107" t="s">
        <v>346</v>
      </c>
      <c r="C122" s="107"/>
      <c r="D122" s="107"/>
      <c r="E122" s="107"/>
      <c r="F122" s="107"/>
      <c r="G122" s="107"/>
      <c r="H122" s="108"/>
      <c r="I122" s="108"/>
      <c r="J122" s="108"/>
      <c r="K122" s="108"/>
      <c r="L122" s="108"/>
      <c r="M122" s="108"/>
      <c r="N122" s="108"/>
      <c r="O122" s="108"/>
      <c r="P122" s="107"/>
      <c r="Q122" s="42"/>
    </row>
    <row r="123" spans="1:17" x14ac:dyDescent="0.25">
      <c r="A123" s="73"/>
      <c r="B123" s="73"/>
      <c r="C123" s="73"/>
      <c r="D123" s="73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3"/>
      <c r="Q123" s="42"/>
    </row>
    <row r="124" spans="1:17" x14ac:dyDescent="0.25">
      <c r="A124" s="73"/>
      <c r="B124" s="73"/>
      <c r="C124" s="109" t="s">
        <v>455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3"/>
      <c r="Q124" s="42"/>
    </row>
    <row r="125" spans="1:17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3"/>
      <c r="Q125" s="42"/>
    </row>
    <row r="126" spans="1:17" x14ac:dyDescent="0.25">
      <c r="A126" s="73"/>
      <c r="B126" s="101"/>
      <c r="C126" s="110" t="s">
        <v>657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0"/>
      <c r="Q126" s="42"/>
    </row>
    <row r="127" spans="1:17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3"/>
      <c r="Q127" s="42"/>
    </row>
    <row r="128" spans="1:17" x14ac:dyDescent="0.25">
      <c r="A128" s="115"/>
      <c r="B128" s="73"/>
      <c r="C128" s="73"/>
      <c r="D128" s="109"/>
      <c r="E128" s="112" t="s">
        <v>410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115" t="s">
        <v>583</v>
      </c>
      <c r="Q128" s="42"/>
    </row>
    <row r="129" spans="1:17" x14ac:dyDescent="0.25">
      <c r="A129" s="73"/>
      <c r="B129" s="73"/>
      <c r="C129" s="73"/>
      <c r="D129" s="73"/>
      <c r="E129" s="73"/>
      <c r="F129" s="113" t="s">
        <v>267</v>
      </c>
      <c r="G129" s="113" t="s">
        <v>472</v>
      </c>
      <c r="H129" s="145"/>
      <c r="I129" s="145"/>
      <c r="J129" s="145">
        <f t="shared" ref="J129:N130" si="1">IF(J$120, J83 / J$118, 0)</f>
        <v>2165.8441194380989</v>
      </c>
      <c r="K129" s="145">
        <f t="shared" si="1"/>
        <v>4459.3397034653235</v>
      </c>
      <c r="L129" s="145">
        <f t="shared" si="1"/>
        <v>1600.0301493133761</v>
      </c>
      <c r="M129" s="145">
        <f t="shared" si="1"/>
        <v>4049.9536421465605</v>
      </c>
      <c r="N129" s="145">
        <f t="shared" si="1"/>
        <v>4122.467128366583</v>
      </c>
      <c r="O129" s="74"/>
      <c r="P129" s="73"/>
      <c r="Q129" s="42"/>
    </row>
    <row r="130" spans="1:17" x14ac:dyDescent="0.25">
      <c r="A130" s="73"/>
      <c r="B130" s="73"/>
      <c r="C130" s="73"/>
      <c r="D130" s="73"/>
      <c r="E130" s="73"/>
      <c r="F130" s="117" t="s">
        <v>268</v>
      </c>
      <c r="G130" s="117" t="s">
        <v>472</v>
      </c>
      <c r="H130" s="146"/>
      <c r="I130" s="147"/>
      <c r="J130" s="147">
        <f t="shared" si="1"/>
        <v>2213.540638999707</v>
      </c>
      <c r="K130" s="147">
        <f t="shared" si="1"/>
        <v>4571.5674146202227</v>
      </c>
      <c r="L130" s="147">
        <f t="shared" si="1"/>
        <v>1641.4666033663973</v>
      </c>
      <c r="M130" s="147">
        <f t="shared" si="1"/>
        <v>4168.465836176787</v>
      </c>
      <c r="N130" s="147">
        <f t="shared" si="1"/>
        <v>3858.9063433513966</v>
      </c>
      <c r="O130" s="74"/>
      <c r="P130" s="73"/>
      <c r="Q130" s="42"/>
    </row>
    <row r="131" spans="1:17" x14ac:dyDescent="0.25">
      <c r="A131" s="73"/>
      <c r="B131" s="73"/>
      <c r="C131" s="73"/>
      <c r="D131" s="73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4"/>
      <c r="P131" s="73"/>
      <c r="Q131" s="42"/>
    </row>
    <row r="132" spans="1:17" x14ac:dyDescent="0.25">
      <c r="A132" s="115"/>
      <c r="B132" s="73"/>
      <c r="C132" s="73"/>
      <c r="D132" s="73"/>
      <c r="E132" s="112" t="s">
        <v>473</v>
      </c>
      <c r="F132" s="73"/>
      <c r="G132" s="73"/>
      <c r="H132" s="74"/>
      <c r="I132" s="132" t="s">
        <v>314</v>
      </c>
      <c r="J132" s="74"/>
      <c r="K132" s="74"/>
      <c r="L132" s="74"/>
      <c r="M132" s="74"/>
      <c r="N132" s="74"/>
      <c r="O132" s="74"/>
      <c r="P132" s="115" t="s">
        <v>584</v>
      </c>
      <c r="Q132" s="42"/>
    </row>
    <row r="133" spans="1:17" x14ac:dyDescent="0.25">
      <c r="A133" s="73"/>
      <c r="B133" s="73"/>
      <c r="C133" s="73"/>
      <c r="D133" s="73"/>
      <c r="E133" s="73"/>
      <c r="F133" s="113" t="s">
        <v>267</v>
      </c>
      <c r="G133" s="113" t="s">
        <v>472</v>
      </c>
      <c r="H133" s="145">
        <f>SUM(J129:N129)</f>
        <v>16397.634742729941</v>
      </c>
      <c r="I133" s="130"/>
      <c r="J133" s="130"/>
      <c r="K133" s="130"/>
      <c r="L133" s="130"/>
      <c r="M133" s="130"/>
      <c r="N133" s="130"/>
      <c r="O133" s="74"/>
      <c r="P133" s="73"/>
      <c r="Q133" s="42"/>
    </row>
    <row r="134" spans="1:17" x14ac:dyDescent="0.25">
      <c r="A134" s="73"/>
      <c r="B134" s="73"/>
      <c r="C134" s="73"/>
      <c r="D134" s="73"/>
      <c r="E134" s="73"/>
      <c r="F134" s="117" t="s">
        <v>268</v>
      </c>
      <c r="G134" s="117" t="s">
        <v>472</v>
      </c>
      <c r="H134" s="146">
        <f>SUM(J130:N130)</f>
        <v>16453.946836514511</v>
      </c>
      <c r="I134" s="130"/>
      <c r="J134" s="130"/>
      <c r="K134" s="130"/>
      <c r="L134" s="130"/>
      <c r="M134" s="130"/>
      <c r="N134" s="130"/>
      <c r="O134" s="74"/>
      <c r="P134" s="73"/>
      <c r="Q134" s="42"/>
    </row>
    <row r="135" spans="1:17" x14ac:dyDescent="0.25">
      <c r="A135" s="73"/>
      <c r="B135" s="73"/>
      <c r="C135" s="73"/>
      <c r="D135" s="73"/>
      <c r="E135" s="73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3"/>
      <c r="Q135" s="42"/>
    </row>
    <row r="136" spans="1:17" x14ac:dyDescent="0.25">
      <c r="A136" s="115"/>
      <c r="B136" s="73"/>
      <c r="C136" s="73"/>
      <c r="D136" s="73"/>
      <c r="E136" s="115" t="s">
        <v>261</v>
      </c>
      <c r="F136" s="214"/>
      <c r="G136" s="115" t="s">
        <v>472</v>
      </c>
      <c r="H136" s="130">
        <f>IF(N120, H64 / N118, 0)</f>
        <v>839.63154240374331</v>
      </c>
      <c r="I136" s="143" t="s">
        <v>314</v>
      </c>
      <c r="J136" s="130"/>
      <c r="K136" s="130"/>
      <c r="L136" s="130"/>
      <c r="M136" s="130"/>
      <c r="N136" s="130"/>
      <c r="O136" s="74"/>
      <c r="P136" s="115" t="s">
        <v>583</v>
      </c>
      <c r="Q136" s="42"/>
    </row>
    <row r="137" spans="1:17" x14ac:dyDescent="0.25">
      <c r="A137" s="73"/>
      <c r="B137" s="73"/>
      <c r="C137" s="73"/>
      <c r="D137" s="73"/>
      <c r="E137" s="73"/>
      <c r="F137" s="73"/>
      <c r="G137" s="73"/>
      <c r="H137" s="74"/>
      <c r="I137" s="74"/>
      <c r="J137" s="74"/>
      <c r="K137" s="74"/>
      <c r="L137" s="74"/>
      <c r="M137" s="74"/>
      <c r="N137" s="74"/>
      <c r="O137" s="74"/>
      <c r="P137" s="73"/>
      <c r="Q137" s="42"/>
    </row>
    <row r="138" spans="1:17" x14ac:dyDescent="0.25">
      <c r="A138" s="73"/>
      <c r="B138" s="73"/>
      <c r="C138" s="73"/>
      <c r="D138" s="73"/>
      <c r="E138" s="112" t="s">
        <v>531</v>
      </c>
      <c r="F138" s="73"/>
      <c r="G138" s="73"/>
      <c r="H138" s="74"/>
      <c r="I138" s="74"/>
      <c r="J138" s="74"/>
      <c r="K138" s="74"/>
      <c r="L138" s="74"/>
      <c r="M138" s="74"/>
      <c r="N138" s="74"/>
      <c r="O138" s="74"/>
      <c r="P138" s="73"/>
      <c r="Q138" s="42"/>
    </row>
    <row r="139" spans="1:17" x14ac:dyDescent="0.25">
      <c r="A139" s="73"/>
      <c r="B139" s="73"/>
      <c r="C139" s="73"/>
      <c r="D139" s="73"/>
      <c r="E139" s="73"/>
      <c r="F139" s="113" t="s">
        <v>267</v>
      </c>
      <c r="G139" s="113" t="s">
        <v>470</v>
      </c>
      <c r="H139" s="145" t="b">
        <f>H133 + H$136 &gt; 0</f>
        <v>1</v>
      </c>
      <c r="I139" s="130"/>
      <c r="J139" s="130"/>
      <c r="K139" s="130"/>
      <c r="L139" s="130"/>
      <c r="M139" s="130"/>
      <c r="N139" s="130"/>
      <c r="O139" s="74"/>
      <c r="P139" s="73"/>
      <c r="Q139" s="42"/>
    </row>
    <row r="140" spans="1:17" x14ac:dyDescent="0.25">
      <c r="A140" s="73"/>
      <c r="B140" s="73"/>
      <c r="C140" s="73"/>
      <c r="D140" s="73"/>
      <c r="E140" s="73"/>
      <c r="F140" s="117" t="s">
        <v>268</v>
      </c>
      <c r="G140" s="117" t="s">
        <v>470</v>
      </c>
      <c r="H140" s="146" t="b">
        <f>H134 + H$136 &gt; 0</f>
        <v>1</v>
      </c>
      <c r="I140" s="130"/>
      <c r="J140" s="130"/>
      <c r="K140" s="130"/>
      <c r="L140" s="130"/>
      <c r="M140" s="130"/>
      <c r="N140" s="130"/>
      <c r="O140" s="74"/>
      <c r="P140" s="73"/>
      <c r="Q140" s="42"/>
    </row>
    <row r="141" spans="1:17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3"/>
      <c r="Q141" s="42"/>
    </row>
    <row r="142" spans="1:17" x14ac:dyDescent="0.25">
      <c r="A142" s="73"/>
      <c r="B142" s="101"/>
      <c r="C142" s="110" t="s">
        <v>658</v>
      </c>
      <c r="D142" s="110"/>
      <c r="E142" s="110"/>
      <c r="F142" s="110"/>
      <c r="G142" s="110"/>
      <c r="H142" s="111"/>
      <c r="I142" s="111"/>
      <c r="J142" s="111"/>
      <c r="K142" s="111"/>
      <c r="L142" s="111"/>
      <c r="M142" s="111"/>
      <c r="N142" s="111"/>
      <c r="O142" s="111"/>
      <c r="P142" s="110"/>
      <c r="Q142" s="42"/>
    </row>
    <row r="143" spans="1:17" x14ac:dyDescent="0.25">
      <c r="A143" s="73"/>
      <c r="B143" s="73"/>
      <c r="C143" s="109"/>
      <c r="D143" s="109"/>
      <c r="E143" s="73"/>
      <c r="F143" s="73"/>
      <c r="G143" s="73"/>
      <c r="H143" s="74"/>
      <c r="I143" s="74"/>
      <c r="J143" s="74"/>
      <c r="K143" s="74"/>
      <c r="L143" s="74"/>
      <c r="M143" s="74"/>
      <c r="N143" s="74"/>
      <c r="O143" s="74"/>
      <c r="P143" s="73"/>
      <c r="Q143" s="42"/>
    </row>
    <row r="144" spans="1:17" x14ac:dyDescent="0.25">
      <c r="A144" s="115"/>
      <c r="B144" s="73"/>
      <c r="C144" s="73"/>
      <c r="D144" s="109"/>
      <c r="E144" s="112" t="s">
        <v>409</v>
      </c>
      <c r="F144" s="73"/>
      <c r="G144" s="73"/>
      <c r="H144" s="74"/>
      <c r="I144" s="132" t="s">
        <v>314</v>
      </c>
      <c r="J144" s="74"/>
      <c r="K144" s="74"/>
      <c r="L144" s="74"/>
      <c r="M144" s="74"/>
      <c r="N144" s="74"/>
      <c r="O144" s="74"/>
      <c r="P144" s="115" t="s">
        <v>584</v>
      </c>
      <c r="Q144" s="42"/>
    </row>
    <row r="145" spans="1:17" x14ac:dyDescent="0.25">
      <c r="A145" s="73"/>
      <c r="B145" s="73"/>
      <c r="C145" s="73"/>
      <c r="D145" s="73"/>
      <c r="E145" s="73"/>
      <c r="F145" s="113" t="s">
        <v>267</v>
      </c>
      <c r="G145" s="113" t="s">
        <v>44</v>
      </c>
      <c r="H145" s="149"/>
      <c r="I145" s="149"/>
      <c r="J145" s="180">
        <f t="shared" ref="J145:N146" si="2">IF(J$120, J129 / ($H133 + $H$136), 0)</f>
        <v>0.12564893316674211</v>
      </c>
      <c r="K145" s="180">
        <f t="shared" si="2"/>
        <v>0.25870341791443408</v>
      </c>
      <c r="L145" s="180">
        <f t="shared" si="2"/>
        <v>9.2823892306712549E-2</v>
      </c>
      <c r="M145" s="180">
        <f t="shared" si="2"/>
        <v>0.23495336065205721</v>
      </c>
      <c r="N145" s="180">
        <f t="shared" si="2"/>
        <v>0.23916014640453825</v>
      </c>
      <c r="O145" s="74"/>
      <c r="P145" s="73"/>
      <c r="Q145" s="42"/>
    </row>
    <row r="146" spans="1:17" x14ac:dyDescent="0.25">
      <c r="A146" s="73"/>
      <c r="B146" s="73"/>
      <c r="C146" s="73"/>
      <c r="D146" s="73"/>
      <c r="E146" s="73"/>
      <c r="F146" s="117" t="s">
        <v>268</v>
      </c>
      <c r="G146" s="117" t="s">
        <v>44</v>
      </c>
      <c r="H146" s="150"/>
      <c r="I146" s="151"/>
      <c r="J146" s="192">
        <f t="shared" si="2"/>
        <v>0.12799783772328605</v>
      </c>
      <c r="K146" s="192">
        <f t="shared" si="2"/>
        <v>0.26435057652343336</v>
      </c>
      <c r="L146" s="192">
        <f t="shared" si="2"/>
        <v>9.4917695308648672E-2</v>
      </c>
      <c r="M146" s="192">
        <f t="shared" si="2"/>
        <v>0.24104125501627574</v>
      </c>
      <c r="N146" s="193">
        <f t="shared" si="2"/>
        <v>0.22314099828266881</v>
      </c>
      <c r="O146" s="74"/>
      <c r="P146" s="73"/>
      <c r="Q146" s="42"/>
    </row>
    <row r="147" spans="1:17" x14ac:dyDescent="0.25">
      <c r="A147" s="73"/>
      <c r="B147" s="73"/>
      <c r="C147" s="73"/>
      <c r="D147" s="73"/>
      <c r="E147" s="73"/>
      <c r="F147" s="73"/>
      <c r="G147" s="73"/>
      <c r="H147" s="74"/>
      <c r="I147" s="74"/>
      <c r="J147" s="74"/>
      <c r="K147" s="74"/>
      <c r="L147" s="74"/>
      <c r="M147" s="74"/>
      <c r="N147" s="74"/>
      <c r="O147" s="74"/>
      <c r="P147" s="73"/>
      <c r="Q147" s="42"/>
    </row>
    <row r="148" spans="1:17" x14ac:dyDescent="0.25">
      <c r="A148" s="73"/>
      <c r="B148" s="73"/>
      <c r="C148" s="73"/>
      <c r="D148" s="73"/>
      <c r="E148" s="112" t="s">
        <v>411</v>
      </c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3"/>
      <c r="Q148" s="42"/>
    </row>
    <row r="149" spans="1:17" x14ac:dyDescent="0.25">
      <c r="A149" s="73"/>
      <c r="B149" s="121"/>
      <c r="C149" s="121"/>
      <c r="D149" s="121"/>
      <c r="E149" s="121"/>
      <c r="F149" s="194" t="s">
        <v>267</v>
      </c>
      <c r="G149" s="194" t="s">
        <v>44</v>
      </c>
      <c r="H149" s="195">
        <f>IF(H139, H$136 / (H133 + H$136), 0)</f>
        <v>4.8710249555515964E-2</v>
      </c>
      <c r="I149" s="196" t="s">
        <v>314</v>
      </c>
      <c r="J149" s="197"/>
      <c r="K149" s="197"/>
      <c r="L149" s="197"/>
      <c r="M149" s="197"/>
      <c r="N149" s="197"/>
      <c r="O149" s="125"/>
      <c r="P149" s="123" t="s">
        <v>567</v>
      </c>
      <c r="Q149" s="126"/>
    </row>
    <row r="150" spans="1:17" x14ac:dyDescent="0.25">
      <c r="A150" s="73"/>
      <c r="B150" s="73"/>
      <c r="C150" s="73"/>
      <c r="D150" s="73"/>
      <c r="E150" s="73"/>
      <c r="F150" s="117" t="s">
        <v>268</v>
      </c>
      <c r="G150" s="117" t="s">
        <v>44</v>
      </c>
      <c r="H150" s="198">
        <f>IF(H140, H$136 / (H134 + H$136), 0)</f>
        <v>4.855163714568736E-2</v>
      </c>
      <c r="I150" s="135"/>
      <c r="J150" s="135"/>
      <c r="K150" s="135"/>
      <c r="L150" s="135"/>
      <c r="M150" s="135"/>
      <c r="N150" s="135"/>
      <c r="O150" s="74"/>
      <c r="P150" s="73"/>
      <c r="Q150" s="42"/>
    </row>
    <row r="151" spans="1:17" x14ac:dyDescent="0.25">
      <c r="A151" s="73"/>
      <c r="B151" s="73"/>
      <c r="C151" s="73"/>
      <c r="D151" s="73"/>
      <c r="E151" s="73"/>
      <c r="F151" s="73"/>
      <c r="G151" s="73"/>
      <c r="H151" s="74"/>
      <c r="I151" s="74"/>
      <c r="J151" s="74"/>
      <c r="K151" s="74"/>
      <c r="L151" s="74"/>
      <c r="M151" s="74"/>
      <c r="N151" s="74"/>
      <c r="O151" s="74"/>
      <c r="P151" s="73"/>
      <c r="Q151" s="42"/>
    </row>
    <row r="152" spans="1:17" x14ac:dyDescent="0.25">
      <c r="A152" s="73"/>
      <c r="B152" s="73"/>
      <c r="C152" s="73"/>
      <c r="D152" s="73"/>
      <c r="E152" s="112" t="s">
        <v>239</v>
      </c>
      <c r="F152" s="73"/>
      <c r="G152" s="73"/>
      <c r="H152" s="74"/>
      <c r="I152" s="74"/>
      <c r="J152" s="74"/>
      <c r="K152" s="74"/>
      <c r="L152" s="74"/>
      <c r="M152" s="74"/>
      <c r="N152" s="74"/>
      <c r="O152" s="74"/>
      <c r="P152" s="73"/>
      <c r="Q152" s="42"/>
    </row>
    <row r="153" spans="1:17" x14ac:dyDescent="0.25">
      <c r="A153" s="73"/>
      <c r="B153" s="73"/>
      <c r="C153" s="73"/>
      <c r="D153" s="73"/>
      <c r="E153" s="115"/>
      <c r="F153" s="113" t="s">
        <v>267</v>
      </c>
      <c r="G153" s="113" t="s">
        <v>231</v>
      </c>
      <c r="H153" s="226">
        <f>IF(H149 + SUM(J145:N145) = 1, 0, 1)</f>
        <v>0</v>
      </c>
      <c r="I153" s="135"/>
      <c r="J153" s="135"/>
      <c r="K153" s="135"/>
      <c r="L153" s="135"/>
      <c r="M153" s="135"/>
      <c r="N153" s="135"/>
      <c r="O153" s="74"/>
      <c r="P153" s="73"/>
      <c r="Q153" s="42"/>
    </row>
    <row r="154" spans="1:17" x14ac:dyDescent="0.25">
      <c r="A154" s="73"/>
      <c r="B154" s="73"/>
      <c r="C154" s="73"/>
      <c r="D154" s="73"/>
      <c r="E154" s="115"/>
      <c r="F154" s="117" t="s">
        <v>268</v>
      </c>
      <c r="G154" s="117" t="s">
        <v>231</v>
      </c>
      <c r="H154" s="227">
        <f>IF(H150 + SUM(J146:N146) = 1, 0, 1)</f>
        <v>0</v>
      </c>
      <c r="I154" s="135"/>
      <c r="J154" s="135"/>
      <c r="K154" s="135"/>
      <c r="L154" s="135"/>
      <c r="M154" s="135"/>
      <c r="N154" s="135"/>
      <c r="O154" s="74"/>
      <c r="P154" s="73"/>
      <c r="Q154" s="42"/>
    </row>
    <row r="155" spans="1:17" x14ac:dyDescent="0.25">
      <c r="A155" s="73"/>
      <c r="B155" s="73"/>
      <c r="C155" s="73"/>
      <c r="D155" s="73"/>
      <c r="E155" s="109"/>
      <c r="F155" s="73"/>
      <c r="G155" s="73"/>
      <c r="H155" s="74"/>
      <c r="I155" s="74"/>
      <c r="J155" s="74"/>
      <c r="K155" s="74"/>
      <c r="L155" s="74"/>
      <c r="M155" s="74"/>
      <c r="N155" s="74"/>
      <c r="O155" s="74"/>
      <c r="P155" s="73"/>
      <c r="Q155" s="42"/>
    </row>
    <row r="156" spans="1:17" x14ac:dyDescent="0.25">
      <c r="A156" s="73"/>
      <c r="B156" s="101"/>
      <c r="C156" s="110" t="s">
        <v>659</v>
      </c>
      <c r="D156" s="110"/>
      <c r="E156" s="110"/>
      <c r="F156" s="110"/>
      <c r="G156" s="110"/>
      <c r="H156" s="111"/>
      <c r="I156" s="111"/>
      <c r="J156" s="111"/>
      <c r="K156" s="111"/>
      <c r="L156" s="111"/>
      <c r="M156" s="111"/>
      <c r="N156" s="111"/>
      <c r="O156" s="111"/>
      <c r="P156" s="110"/>
      <c r="Q156" s="42"/>
    </row>
    <row r="157" spans="1:17" x14ac:dyDescent="0.25">
      <c r="A157" s="73"/>
      <c r="B157" s="73"/>
      <c r="C157" s="109"/>
      <c r="D157" s="109"/>
      <c r="E157" s="109"/>
      <c r="F157" s="73"/>
      <c r="G157" s="73"/>
      <c r="H157" s="74"/>
      <c r="I157" s="74"/>
      <c r="J157" s="74"/>
      <c r="K157" s="74"/>
      <c r="L157" s="74"/>
      <c r="M157" s="74"/>
      <c r="N157" s="74"/>
      <c r="O157" s="74"/>
      <c r="P157" s="73"/>
      <c r="Q157" s="42"/>
    </row>
    <row r="158" spans="1:17" x14ac:dyDescent="0.25">
      <c r="A158" s="73"/>
      <c r="B158" s="73"/>
      <c r="C158" s="73"/>
      <c r="D158" s="73"/>
      <c r="E158" s="115" t="s">
        <v>257</v>
      </c>
      <c r="F158" s="199"/>
      <c r="G158" s="115" t="s">
        <v>44</v>
      </c>
      <c r="H158" s="154">
        <f>H149</f>
        <v>4.8710249555515964E-2</v>
      </c>
      <c r="I158" s="196" t="s">
        <v>314</v>
      </c>
      <c r="J158" s="197"/>
      <c r="K158" s="197"/>
      <c r="L158" s="197"/>
      <c r="M158" s="197"/>
      <c r="N158" s="197"/>
      <c r="O158" s="125"/>
      <c r="P158" s="123" t="s">
        <v>567</v>
      </c>
      <c r="Q158" s="42"/>
    </row>
    <row r="159" spans="1:17" x14ac:dyDescent="0.25">
      <c r="A159" s="73"/>
      <c r="B159" s="73"/>
      <c r="C159" s="73"/>
      <c r="D159" s="73"/>
      <c r="E159" s="109"/>
      <c r="F159" s="73"/>
      <c r="G159" s="73"/>
      <c r="H159" s="74"/>
      <c r="I159" s="74"/>
      <c r="J159" s="74"/>
      <c r="K159" s="74"/>
      <c r="L159" s="74"/>
      <c r="M159" s="74"/>
      <c r="N159" s="74"/>
      <c r="O159" s="74"/>
      <c r="P159" s="73"/>
      <c r="Q159" s="42"/>
    </row>
    <row r="160" spans="1:17" x14ac:dyDescent="0.25">
      <c r="A160" s="73"/>
      <c r="B160" s="101"/>
      <c r="C160" s="110" t="s">
        <v>660</v>
      </c>
      <c r="D160" s="110"/>
      <c r="E160" s="110"/>
      <c r="F160" s="110"/>
      <c r="G160" s="110"/>
      <c r="H160" s="111"/>
      <c r="I160" s="111"/>
      <c r="J160" s="111"/>
      <c r="K160" s="111"/>
      <c r="L160" s="111"/>
      <c r="M160" s="111"/>
      <c r="N160" s="111"/>
      <c r="O160" s="111"/>
      <c r="P160" s="110"/>
      <c r="Q160" s="42"/>
    </row>
    <row r="161" spans="1:17" x14ac:dyDescent="0.25">
      <c r="A161" s="73"/>
      <c r="B161" s="73"/>
      <c r="C161" s="109"/>
      <c r="D161" s="109"/>
      <c r="E161" s="73"/>
      <c r="F161" s="73"/>
      <c r="G161" s="73"/>
      <c r="H161" s="74"/>
      <c r="I161" s="74"/>
      <c r="J161" s="74"/>
      <c r="K161" s="74"/>
      <c r="L161" s="74"/>
      <c r="M161" s="74"/>
      <c r="N161" s="74"/>
      <c r="O161" s="74"/>
      <c r="P161" s="73"/>
      <c r="Q161" s="42"/>
    </row>
    <row r="162" spans="1:17" x14ac:dyDescent="0.25">
      <c r="A162" s="73"/>
      <c r="B162" s="73"/>
      <c r="C162" s="73"/>
      <c r="D162" s="109"/>
      <c r="E162" s="112" t="str">
        <f>MEAV!E91</f>
        <v>Share of EHV and 132kV MEAV, by network level</v>
      </c>
      <c r="F162" s="73"/>
      <c r="G162" s="73"/>
      <c r="H162" s="74"/>
      <c r="I162" s="74"/>
      <c r="J162" s="74"/>
      <c r="K162" s="74"/>
      <c r="L162" s="74"/>
      <c r="M162" s="74"/>
      <c r="N162" s="74"/>
      <c r="O162" s="74"/>
      <c r="P162" s="73"/>
      <c r="Q162" s="42"/>
    </row>
    <row r="163" spans="1:17" x14ac:dyDescent="0.25">
      <c r="A163" s="73"/>
      <c r="B163" s="73"/>
      <c r="C163" s="73"/>
      <c r="D163" s="73"/>
      <c r="E163" s="73"/>
      <c r="F163" s="113" t="str">
        <f>MEAV!F92</f>
        <v>EHV/HV</v>
      </c>
      <c r="G163" s="113" t="str">
        <f>MEAV!G92</f>
        <v>%</v>
      </c>
      <c r="H163" s="172">
        <f>MEAV!H92</f>
        <v>0.19373079886001365</v>
      </c>
      <c r="I163" s="135"/>
      <c r="J163" s="135"/>
      <c r="K163" s="135"/>
      <c r="L163" s="135"/>
      <c r="M163" s="135"/>
      <c r="N163" s="135"/>
      <c r="O163" s="74"/>
      <c r="P163" s="73"/>
      <c r="Q163" s="42"/>
    </row>
    <row r="164" spans="1:17" x14ac:dyDescent="0.25">
      <c r="A164" s="73"/>
      <c r="B164" s="73"/>
      <c r="C164" s="73"/>
      <c r="D164" s="73"/>
      <c r="E164" s="73"/>
      <c r="F164" s="115" t="str">
        <f>MEAV!F93</f>
        <v>EHV</v>
      </c>
      <c r="G164" s="115" t="str">
        <f>MEAV!G93</f>
        <v>%</v>
      </c>
      <c r="H164" s="166">
        <f>MEAV!H93</f>
        <v>0.2959520696404182</v>
      </c>
      <c r="I164" s="135"/>
      <c r="J164" s="135"/>
      <c r="K164" s="135"/>
      <c r="L164" s="135"/>
      <c r="M164" s="135"/>
      <c r="N164" s="135"/>
      <c r="O164" s="74"/>
      <c r="P164" s="73"/>
      <c r="Q164" s="42"/>
    </row>
    <row r="165" spans="1:17" x14ac:dyDescent="0.25">
      <c r="A165" s="73"/>
      <c r="B165" s="73"/>
      <c r="C165" s="73"/>
      <c r="D165" s="73"/>
      <c r="E165" s="73"/>
      <c r="F165" s="115" t="str">
        <f>MEAV!F94</f>
        <v>132kV/EHV</v>
      </c>
      <c r="G165" s="115" t="str">
        <f>MEAV!G94</f>
        <v>%</v>
      </c>
      <c r="H165" s="166">
        <f>MEAV!H94</f>
        <v>0.12058035851121424</v>
      </c>
      <c r="I165" s="135"/>
      <c r="J165" s="135"/>
      <c r="K165" s="135"/>
      <c r="L165" s="135"/>
      <c r="M165" s="135"/>
      <c r="N165" s="135"/>
      <c r="O165" s="74"/>
      <c r="P165" s="73"/>
      <c r="Q165" s="42"/>
    </row>
    <row r="166" spans="1:17" x14ac:dyDescent="0.25">
      <c r="A166" s="73"/>
      <c r="B166" s="73"/>
      <c r="C166" s="73"/>
      <c r="D166" s="73"/>
      <c r="E166" s="73"/>
      <c r="F166" s="117" t="str">
        <f>MEAV!F95</f>
        <v>132kV</v>
      </c>
      <c r="G166" s="117" t="str">
        <f>MEAV!G95</f>
        <v>%</v>
      </c>
      <c r="H166" s="173">
        <f>MEAV!H95</f>
        <v>0.38973677298835385</v>
      </c>
      <c r="I166" s="135"/>
      <c r="J166" s="135"/>
      <c r="K166" s="135"/>
      <c r="L166" s="135"/>
      <c r="M166" s="135"/>
      <c r="N166" s="135"/>
      <c r="O166" s="74"/>
      <c r="P166" s="73"/>
      <c r="Q166" s="42"/>
    </row>
    <row r="167" spans="1:17" x14ac:dyDescent="0.25">
      <c r="A167" s="73"/>
      <c r="B167" s="73"/>
      <c r="C167" s="73"/>
      <c r="D167" s="73"/>
      <c r="E167" s="73"/>
      <c r="F167" s="73"/>
      <c r="G167" s="73"/>
      <c r="H167" s="74"/>
      <c r="I167" s="74"/>
      <c r="J167" s="74"/>
      <c r="K167" s="74"/>
      <c r="L167" s="74"/>
      <c r="M167" s="74"/>
      <c r="N167" s="74"/>
      <c r="O167" s="74"/>
      <c r="P167" s="73"/>
      <c r="Q167" s="42"/>
    </row>
    <row r="168" spans="1:17" x14ac:dyDescent="0.25">
      <c r="A168" s="73"/>
      <c r="B168" s="73"/>
      <c r="C168" s="73"/>
      <c r="D168" s="73"/>
      <c r="E168" s="112" t="s">
        <v>349</v>
      </c>
      <c r="F168" s="73"/>
      <c r="G168" s="73"/>
      <c r="H168" s="74"/>
      <c r="I168" s="74"/>
      <c r="J168" s="74"/>
      <c r="K168" s="74"/>
      <c r="L168" s="74"/>
      <c r="M168" s="74"/>
      <c r="N168" s="74"/>
      <c r="O168" s="74"/>
      <c r="P168" s="73"/>
      <c r="Q168" s="42"/>
    </row>
    <row r="169" spans="1:17" x14ac:dyDescent="0.25">
      <c r="A169" s="73"/>
      <c r="B169" s="73"/>
      <c r="C169" s="73"/>
      <c r="D169" s="73"/>
      <c r="E169" s="73"/>
      <c r="F169" s="113" t="s">
        <v>165</v>
      </c>
      <c r="G169" s="113" t="s">
        <v>44</v>
      </c>
      <c r="H169" s="180">
        <f>J145 + K145</f>
        <v>0.38435235108117616</v>
      </c>
      <c r="I169" s="135"/>
      <c r="J169" s="135"/>
      <c r="K169" s="135"/>
      <c r="L169" s="135"/>
      <c r="M169" s="135"/>
      <c r="N169" s="135"/>
      <c r="O169" s="74"/>
      <c r="P169" s="73"/>
      <c r="Q169" s="42"/>
    </row>
    <row r="170" spans="1:17" x14ac:dyDescent="0.25">
      <c r="A170" s="73"/>
      <c r="B170" s="73"/>
      <c r="C170" s="73"/>
      <c r="D170" s="73"/>
      <c r="E170" s="73"/>
      <c r="F170" s="115" t="s">
        <v>41</v>
      </c>
      <c r="G170" s="115" t="s">
        <v>44</v>
      </c>
      <c r="H170" s="209">
        <f>L145</f>
        <v>9.2823892306712549E-2</v>
      </c>
      <c r="I170" s="135"/>
      <c r="J170" s="135"/>
      <c r="K170" s="135"/>
      <c r="L170" s="135"/>
      <c r="M170" s="135"/>
      <c r="N170" s="135"/>
      <c r="O170" s="74"/>
      <c r="P170" s="73"/>
      <c r="Q170" s="42"/>
    </row>
    <row r="171" spans="1:17" x14ac:dyDescent="0.25">
      <c r="A171" s="73"/>
      <c r="B171" s="73"/>
      <c r="C171" s="73"/>
      <c r="D171" s="73"/>
      <c r="E171" s="73"/>
      <c r="F171" s="115" t="s">
        <v>40</v>
      </c>
      <c r="G171" s="115" t="s">
        <v>44</v>
      </c>
      <c r="H171" s="193">
        <f>M145</f>
        <v>0.23495336065205721</v>
      </c>
      <c r="I171" s="135"/>
      <c r="J171" s="135"/>
      <c r="K171" s="135"/>
      <c r="L171" s="135"/>
      <c r="M171" s="135"/>
      <c r="N171" s="135"/>
      <c r="O171" s="74"/>
      <c r="P171" s="73"/>
      <c r="Q171" s="42"/>
    </row>
    <row r="172" spans="1:17" x14ac:dyDescent="0.25">
      <c r="A172" s="115"/>
      <c r="B172" s="73"/>
      <c r="C172" s="73"/>
      <c r="D172" s="73"/>
      <c r="E172" s="73"/>
      <c r="F172" s="115" t="s">
        <v>38</v>
      </c>
      <c r="G172" s="115" t="s">
        <v>44</v>
      </c>
      <c r="H172" s="177">
        <f>N$145 * H163</f>
        <v>4.6332686218429016E-2</v>
      </c>
      <c r="I172" s="131" t="s">
        <v>314</v>
      </c>
      <c r="J172" s="135"/>
      <c r="K172" s="135"/>
      <c r="L172" s="135"/>
      <c r="M172" s="135"/>
      <c r="N172" s="135"/>
      <c r="O172" s="74"/>
      <c r="P172" s="115" t="s">
        <v>573</v>
      </c>
      <c r="Q172" s="42"/>
    </row>
    <row r="173" spans="1:17" x14ac:dyDescent="0.25">
      <c r="A173" s="115"/>
      <c r="B173" s="73"/>
      <c r="C173" s="73"/>
      <c r="D173" s="73"/>
      <c r="E173" s="73"/>
      <c r="F173" s="115" t="s">
        <v>37</v>
      </c>
      <c r="G173" s="115" t="s">
        <v>44</v>
      </c>
      <c r="H173" s="177">
        <f>N$145 * H164</f>
        <v>7.0779940303928521E-2</v>
      </c>
      <c r="I173" s="131" t="s">
        <v>314</v>
      </c>
      <c r="J173" s="135"/>
      <c r="K173" s="135"/>
      <c r="L173" s="135"/>
      <c r="M173" s="135"/>
      <c r="N173" s="135"/>
      <c r="O173" s="74"/>
      <c r="P173" s="115" t="s">
        <v>573</v>
      </c>
      <c r="Q173" s="42"/>
    </row>
    <row r="174" spans="1:17" x14ac:dyDescent="0.25">
      <c r="A174" s="115"/>
      <c r="B174" s="73"/>
      <c r="C174" s="73"/>
      <c r="D174" s="73"/>
      <c r="E174" s="73"/>
      <c r="F174" s="115" t="s">
        <v>36</v>
      </c>
      <c r="G174" s="115" t="s">
        <v>44</v>
      </c>
      <c r="H174" s="177">
        <f>N$145 * H165</f>
        <v>2.8838016195053707E-2</v>
      </c>
      <c r="I174" s="131" t="s">
        <v>314</v>
      </c>
      <c r="J174" s="135"/>
      <c r="K174" s="135"/>
      <c r="L174" s="135"/>
      <c r="M174" s="135"/>
      <c r="N174" s="135"/>
      <c r="O174" s="74"/>
      <c r="P174" s="115" t="s">
        <v>573</v>
      </c>
      <c r="Q174" s="42"/>
    </row>
    <row r="175" spans="1:17" x14ac:dyDescent="0.25">
      <c r="A175" s="115"/>
      <c r="B175" s="73"/>
      <c r="C175" s="73"/>
      <c r="D175" s="73"/>
      <c r="E175" s="73"/>
      <c r="F175" s="117" t="s">
        <v>35</v>
      </c>
      <c r="G175" s="117" t="s">
        <v>44</v>
      </c>
      <c r="H175" s="198">
        <f>N$145 * H166</f>
        <v>9.3209503687126993E-2</v>
      </c>
      <c r="I175" s="131" t="s">
        <v>314</v>
      </c>
      <c r="J175" s="135"/>
      <c r="K175" s="135"/>
      <c r="L175" s="135"/>
      <c r="M175" s="135"/>
      <c r="N175" s="135"/>
      <c r="O175" s="74"/>
      <c r="P175" s="115" t="s">
        <v>573</v>
      </c>
      <c r="Q175" s="42"/>
    </row>
    <row r="176" spans="1:17" x14ac:dyDescent="0.25">
      <c r="A176" s="73"/>
      <c r="B176" s="73"/>
      <c r="C176" s="73"/>
      <c r="D176" s="73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4"/>
      <c r="P176" s="73"/>
      <c r="Q176" s="42"/>
    </row>
    <row r="177" spans="1:17" x14ac:dyDescent="0.25">
      <c r="A177" s="73"/>
      <c r="B177" s="73"/>
      <c r="C177" s="73"/>
      <c r="D177" s="73"/>
      <c r="E177" s="112" t="s">
        <v>351</v>
      </c>
      <c r="F177" s="73"/>
      <c r="G177" s="73"/>
      <c r="H177" s="74"/>
      <c r="I177" s="74"/>
      <c r="J177" s="74"/>
      <c r="K177" s="74"/>
      <c r="L177" s="74"/>
      <c r="M177" s="74"/>
      <c r="N177" s="74"/>
      <c r="O177" s="74"/>
      <c r="P177" s="73"/>
      <c r="Q177" s="42"/>
    </row>
    <row r="178" spans="1:17" x14ac:dyDescent="0.25">
      <c r="A178" s="73"/>
      <c r="B178" s="73"/>
      <c r="C178" s="73"/>
      <c r="D178" s="73"/>
      <c r="E178" s="73"/>
      <c r="F178" s="113" t="s">
        <v>35</v>
      </c>
      <c r="G178" s="113" t="s">
        <v>44</v>
      </c>
      <c r="H178" s="153">
        <f>INDEX(H$169:H$175, MATCH(F178, F$169:F$175, 0), 0)</f>
        <v>9.3209503687126993E-2</v>
      </c>
      <c r="I178" s="135"/>
      <c r="J178" s="135"/>
      <c r="K178" s="135"/>
      <c r="L178" s="135"/>
      <c r="M178" s="135"/>
      <c r="N178" s="135"/>
      <c r="O178" s="74"/>
      <c r="P178" s="73"/>
      <c r="Q178" s="42"/>
    </row>
    <row r="179" spans="1:17" x14ac:dyDescent="0.25">
      <c r="A179" s="73"/>
      <c r="B179" s="73"/>
      <c r="C179" s="73"/>
      <c r="D179" s="73"/>
      <c r="E179" s="73"/>
      <c r="F179" s="115" t="s">
        <v>36</v>
      </c>
      <c r="G179" s="115" t="s">
        <v>44</v>
      </c>
      <c r="H179" s="154">
        <f t="shared" ref="H179:H184" si="3">INDEX(H$169:H$175, MATCH(F179, F$169:F$175, 0), 0)</f>
        <v>2.8838016195053707E-2</v>
      </c>
      <c r="I179" s="135"/>
      <c r="J179" s="135"/>
      <c r="K179" s="135"/>
      <c r="L179" s="135"/>
      <c r="M179" s="135"/>
      <c r="N179" s="135"/>
      <c r="O179" s="74"/>
      <c r="P179" s="73"/>
      <c r="Q179" s="42"/>
    </row>
    <row r="180" spans="1:17" x14ac:dyDescent="0.25">
      <c r="A180" s="73"/>
      <c r="B180" s="73"/>
      <c r="C180" s="73"/>
      <c r="D180" s="73"/>
      <c r="E180" s="73"/>
      <c r="F180" s="115" t="s">
        <v>37</v>
      </c>
      <c r="G180" s="115" t="s">
        <v>44</v>
      </c>
      <c r="H180" s="154">
        <f t="shared" si="3"/>
        <v>7.0779940303928521E-2</v>
      </c>
      <c r="I180" s="135"/>
      <c r="J180" s="135"/>
      <c r="K180" s="135"/>
      <c r="L180" s="135"/>
      <c r="M180" s="135"/>
      <c r="N180" s="135"/>
      <c r="O180" s="74"/>
      <c r="P180" s="73"/>
      <c r="Q180" s="42"/>
    </row>
    <row r="181" spans="1:17" x14ac:dyDescent="0.25">
      <c r="A181" s="73"/>
      <c r="B181" s="73"/>
      <c r="C181" s="73"/>
      <c r="D181" s="73"/>
      <c r="E181" s="73"/>
      <c r="F181" s="115" t="s">
        <v>38</v>
      </c>
      <c r="G181" s="115" t="s">
        <v>44</v>
      </c>
      <c r="H181" s="154">
        <f t="shared" si="3"/>
        <v>4.6332686218429016E-2</v>
      </c>
      <c r="I181" s="135"/>
      <c r="J181" s="135"/>
      <c r="K181" s="135"/>
      <c r="L181" s="135"/>
      <c r="M181" s="135"/>
      <c r="N181" s="135"/>
      <c r="O181" s="74"/>
      <c r="P181" s="73"/>
      <c r="Q181" s="42"/>
    </row>
    <row r="182" spans="1:17" x14ac:dyDescent="0.25">
      <c r="A182" s="73"/>
      <c r="B182" s="73"/>
      <c r="C182" s="73"/>
      <c r="D182" s="73"/>
      <c r="E182" s="73"/>
      <c r="F182" s="115" t="s">
        <v>40</v>
      </c>
      <c r="G182" s="115" t="s">
        <v>44</v>
      </c>
      <c r="H182" s="154">
        <f t="shared" si="3"/>
        <v>0.23495336065205721</v>
      </c>
      <c r="I182" s="135"/>
      <c r="J182" s="135"/>
      <c r="K182" s="135"/>
      <c r="L182" s="135"/>
      <c r="M182" s="135"/>
      <c r="N182" s="135"/>
      <c r="O182" s="74"/>
      <c r="P182" s="73"/>
      <c r="Q182" s="42"/>
    </row>
    <row r="183" spans="1:17" x14ac:dyDescent="0.25">
      <c r="A183" s="73"/>
      <c r="B183" s="73"/>
      <c r="C183" s="73"/>
      <c r="D183" s="73"/>
      <c r="E183" s="73"/>
      <c r="F183" s="115" t="s">
        <v>41</v>
      </c>
      <c r="G183" s="115" t="s">
        <v>44</v>
      </c>
      <c r="H183" s="154">
        <f t="shared" si="3"/>
        <v>9.2823892306712549E-2</v>
      </c>
      <c r="I183" s="135"/>
      <c r="J183" s="135"/>
      <c r="K183" s="135"/>
      <c r="L183" s="135"/>
      <c r="M183" s="135"/>
      <c r="N183" s="135"/>
      <c r="O183" s="74"/>
      <c r="P183" s="73"/>
      <c r="Q183" s="42"/>
    </row>
    <row r="184" spans="1:17" x14ac:dyDescent="0.25">
      <c r="A184" s="73"/>
      <c r="B184" s="73"/>
      <c r="C184" s="73"/>
      <c r="D184" s="73"/>
      <c r="E184" s="73"/>
      <c r="F184" s="117" t="s">
        <v>165</v>
      </c>
      <c r="G184" s="117" t="s">
        <v>44</v>
      </c>
      <c r="H184" s="155">
        <f t="shared" si="3"/>
        <v>0.38435235108117616</v>
      </c>
      <c r="I184" s="135"/>
      <c r="J184" s="135"/>
      <c r="K184" s="135"/>
      <c r="L184" s="135"/>
      <c r="M184" s="135"/>
      <c r="N184" s="135"/>
      <c r="O184" s="74"/>
      <c r="P184" s="73"/>
      <c r="Q184" s="42"/>
    </row>
    <row r="185" spans="1:17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4"/>
      <c r="P185" s="73"/>
      <c r="Q185" s="42"/>
    </row>
    <row r="186" spans="1:17" x14ac:dyDescent="0.25">
      <c r="A186" s="73"/>
      <c r="B186" s="107" t="s">
        <v>242</v>
      </c>
      <c r="C186" s="107"/>
      <c r="D186" s="107"/>
      <c r="E186" s="107"/>
      <c r="F186" s="107"/>
      <c r="G186" s="107"/>
      <c r="H186" s="108"/>
      <c r="I186" s="108"/>
      <c r="J186" s="108"/>
      <c r="K186" s="108"/>
      <c r="L186" s="108"/>
      <c r="M186" s="108"/>
      <c r="N186" s="108"/>
      <c r="O186" s="108"/>
      <c r="P186" s="107"/>
      <c r="Q186" s="42"/>
    </row>
    <row r="187" spans="1:17" x14ac:dyDescent="0.25">
      <c r="A187" s="73"/>
      <c r="B187" s="73"/>
      <c r="C187" s="73"/>
      <c r="D187" s="73"/>
      <c r="E187" s="73"/>
      <c r="F187" s="73"/>
      <c r="G187" s="73"/>
      <c r="H187" s="74"/>
      <c r="I187" s="74"/>
      <c r="J187" s="74"/>
      <c r="K187" s="74"/>
      <c r="L187" s="74"/>
      <c r="M187" s="74"/>
      <c r="N187" s="74"/>
      <c r="O187" s="74"/>
      <c r="P187" s="73"/>
      <c r="Q187" s="42"/>
    </row>
    <row r="188" spans="1:17" x14ac:dyDescent="0.25">
      <c r="A188" s="73"/>
      <c r="B188" s="73"/>
      <c r="C188" s="109"/>
      <c r="D188" s="109"/>
      <c r="E188" s="115" t="s">
        <v>262</v>
      </c>
      <c r="F188" s="73"/>
      <c r="G188" s="115" t="s">
        <v>231</v>
      </c>
      <c r="H188" s="200">
        <f>H39 + H49 + H153 + H154</f>
        <v>0</v>
      </c>
      <c r="I188" s="136"/>
      <c r="J188" s="136"/>
      <c r="K188" s="136"/>
      <c r="L188" s="136"/>
      <c r="M188" s="136"/>
      <c r="N188" s="136"/>
      <c r="O188" s="74"/>
      <c r="P188" s="73"/>
      <c r="Q188" s="42"/>
    </row>
    <row r="189" spans="1:17" x14ac:dyDescent="0.25">
      <c r="A189" s="73"/>
      <c r="B189" s="73"/>
      <c r="C189" s="73"/>
      <c r="D189" s="73"/>
      <c r="E189" s="109"/>
      <c r="F189" s="73"/>
      <c r="G189" s="73"/>
      <c r="H189" s="74"/>
      <c r="I189" s="74"/>
      <c r="J189" s="74"/>
      <c r="K189" s="74"/>
      <c r="L189" s="74"/>
      <c r="M189" s="74"/>
      <c r="N189" s="74"/>
      <c r="O189" s="74"/>
      <c r="P189" s="73"/>
      <c r="Q189" s="42"/>
    </row>
    <row r="190" spans="1:17" x14ac:dyDescent="0.25">
      <c r="A190" s="73"/>
      <c r="B190" s="107" t="s">
        <v>30</v>
      </c>
      <c r="C190" s="107"/>
      <c r="D190" s="107"/>
      <c r="E190" s="107"/>
      <c r="F190" s="107"/>
      <c r="G190" s="107"/>
      <c r="H190" s="108"/>
      <c r="I190" s="108"/>
      <c r="J190" s="108"/>
      <c r="K190" s="108"/>
      <c r="L190" s="108"/>
      <c r="M190" s="108"/>
      <c r="N190" s="108"/>
      <c r="O190" s="108"/>
      <c r="P190" s="107"/>
      <c r="Q190" s="42"/>
    </row>
  </sheetData>
  <sheetProtection sheet="1" objects="1" formatCells="0" formatColumns="0" formatRows="0" sort="0" autoFilter="0"/>
  <conditionalFormatting sqref="H39">
    <cfRule type="cellIs" dxfId="14" priority="2" stopIfTrue="1" operator="greaterThan">
      <formula>0</formula>
    </cfRule>
  </conditionalFormatting>
  <conditionalFormatting sqref="H49">
    <cfRule type="cellIs" dxfId="13" priority="3" stopIfTrue="1" operator="greaterThan">
      <formula>0</formula>
    </cfRule>
  </conditionalFormatting>
  <conditionalFormatting sqref="H188">
    <cfRule type="cellIs" dxfId="12" priority="4" stopIfTrue="1" operator="greaterThan">
      <formula>0</formula>
    </cfRule>
  </conditionalFormatting>
  <conditionalFormatting sqref="A4:XFD4">
    <cfRule type="expression" dxfId="11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0.59999389629810485"/>
  </sheetPr>
  <dimension ref="A1:AT6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Direct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H62 &amp; IF(H62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187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743</v>
      </c>
      <c r="AQ5" s="104" t="s">
        <v>742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496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497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735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292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453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661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">
        <v>332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Expenditure!F133</f>
        <v>EHV and 132kV (EDCM)</v>
      </c>
      <c r="G21" s="113" t="str">
        <f>Expenditure!G133</f>
        <v>£ per year</v>
      </c>
      <c r="H21" s="145"/>
      <c r="I21" s="145"/>
      <c r="J21" s="156">
        <f>Expenditure!J133</f>
        <v>4900000</v>
      </c>
      <c r="K21" s="156">
        <f>Expenditure!K133</f>
        <v>13146272.351747425</v>
      </c>
      <c r="L21" s="156">
        <f>Expenditure!L133</f>
        <v>3272202.7985191746</v>
      </c>
      <c r="M21" s="156">
        <f>Expenditure!M133</f>
        <v>1241572.018682624</v>
      </c>
      <c r="N21" s="156">
        <f>Expenditure!N133</f>
        <v>2143922.1852150229</v>
      </c>
      <c r="O21" s="156">
        <f>Expenditure!O133</f>
        <v>391322.30665870052</v>
      </c>
      <c r="P21" s="156">
        <f>Expenditure!P133</f>
        <v>131766.55564506742</v>
      </c>
      <c r="Q21" s="156">
        <f>Expenditure!Q133</f>
        <v>988249.16733800573</v>
      </c>
      <c r="R21" s="156">
        <f>Expenditure!R133</f>
        <v>1076093.5377680503</v>
      </c>
      <c r="S21" s="156">
        <f>Expenditure!S133</f>
        <v>2108264.8903210792</v>
      </c>
      <c r="T21" s="156">
        <f>Expenditure!T133</f>
        <v>417260.75954271352</v>
      </c>
      <c r="U21" s="156">
        <f>Expenditure!U133</f>
        <v>219610.92607511237</v>
      </c>
      <c r="V21" s="156">
        <f>Expenditure!V133</f>
        <v>153727.64825257866</v>
      </c>
      <c r="W21" s="156">
        <f>Expenditure!W133</f>
        <v>263533.11129013484</v>
      </c>
      <c r="X21" s="156">
        <f>Expenditure!X133</f>
        <v>922365.88951547199</v>
      </c>
      <c r="Y21" s="156">
        <f>Expenditure!Y133</f>
        <v>0</v>
      </c>
      <c r="Z21" s="156">
        <f>Expenditure!Z133</f>
        <v>0</v>
      </c>
      <c r="AA21" s="156">
        <f>Expenditure!AA133</f>
        <v>197649.8334676011</v>
      </c>
      <c r="AB21" s="156">
        <f>Expenditure!AB133</f>
        <v>263533.11129013484</v>
      </c>
      <c r="AC21" s="156">
        <f>Expenditure!AC133</f>
        <v>1295704.4638431629</v>
      </c>
      <c r="AD21" s="156">
        <f>Expenditure!AD133</f>
        <v>351377.48172017979</v>
      </c>
      <c r="AE21" s="156">
        <f>Expenditure!AE133</f>
        <v>0</v>
      </c>
      <c r="AF21" s="156">
        <f>Expenditure!AF133</f>
        <v>0</v>
      </c>
      <c r="AG21" s="156">
        <f>Expenditure!AG133</f>
        <v>0</v>
      </c>
      <c r="AH21" s="156">
        <f>Expenditure!AH133</f>
        <v>0</v>
      </c>
      <c r="AI21" s="156">
        <f>Expenditure!AI133</f>
        <v>0</v>
      </c>
      <c r="AJ21" s="156">
        <f>Expenditure!AJ133</f>
        <v>0</v>
      </c>
      <c r="AK21" s="156">
        <f>Expenditure!AK133</f>
        <v>0</v>
      </c>
      <c r="AL21" s="156">
        <f>Expenditure!AL133</f>
        <v>0</v>
      </c>
      <c r="AM21" s="156">
        <f>Expenditure!AM133</f>
        <v>0</v>
      </c>
      <c r="AN21" s="156">
        <f>Expenditure!AN133</f>
        <v>0</v>
      </c>
      <c r="AO21" s="156">
        <f>Expenditure!AO133</f>
        <v>0</v>
      </c>
      <c r="AP21" s="156">
        <f>Expenditure!AP133</f>
        <v>0</v>
      </c>
      <c r="AQ21" s="156">
        <f>Expenditure!AQ133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Expenditure!F139</f>
        <v>HV (CDCM)</v>
      </c>
      <c r="G22" s="115" t="str">
        <f>Expenditure!G139</f>
        <v>£ per year</v>
      </c>
      <c r="H22" s="130"/>
      <c r="I22" s="130"/>
      <c r="J22" s="201">
        <f>Expenditure!J139</f>
        <v>1160000.0000000002</v>
      </c>
      <c r="K22" s="201">
        <f>Expenditure!K139</f>
        <v>14716217.899358833</v>
      </c>
      <c r="L22" s="201">
        <f>Expenditure!L139</f>
        <v>3911933.2850762713</v>
      </c>
      <c r="M22" s="201">
        <f>Expenditure!M139</f>
        <v>2788800.4438646915</v>
      </c>
      <c r="N22" s="201">
        <f>Expenditure!N139</f>
        <v>852509.17161176249</v>
      </c>
      <c r="O22" s="201">
        <f>Expenditure!O139</f>
        <v>2117495.7467988227</v>
      </c>
      <c r="P22" s="201">
        <f>Expenditure!P139</f>
        <v>157527.5148352861</v>
      </c>
      <c r="Q22" s="201">
        <f>Expenditure!Q139</f>
        <v>1181456.3612646456</v>
      </c>
      <c r="R22" s="201">
        <f>Expenditure!R139</f>
        <v>1286474.7044881694</v>
      </c>
      <c r="S22" s="201">
        <f>Expenditure!S139</f>
        <v>2520440.2373645781</v>
      </c>
      <c r="T22" s="201">
        <f>Expenditure!T139</f>
        <v>498837.13031173928</v>
      </c>
      <c r="U22" s="201">
        <f>Expenditure!U139</f>
        <v>262545.85805881012</v>
      </c>
      <c r="V22" s="201">
        <f>Expenditure!V139</f>
        <v>183782.10064116711</v>
      </c>
      <c r="W22" s="201">
        <f>Expenditure!W139</f>
        <v>315055.0296705722</v>
      </c>
      <c r="X22" s="201">
        <f>Expenditure!X139</f>
        <v>1102692.6038470026</v>
      </c>
      <c r="Y22" s="201">
        <f>Expenditure!Y139</f>
        <v>0</v>
      </c>
      <c r="Z22" s="201">
        <f>Expenditure!Z139</f>
        <v>0</v>
      </c>
      <c r="AA22" s="201">
        <f>Expenditure!AA139</f>
        <v>236291.27225292911</v>
      </c>
      <c r="AB22" s="201">
        <f>Expenditure!AB139</f>
        <v>315055.0296705722</v>
      </c>
      <c r="AC22" s="201">
        <f>Expenditure!AC139</f>
        <v>1549020.5625469796</v>
      </c>
      <c r="AD22" s="201">
        <f>Expenditure!AD139</f>
        <v>420073.37289409625</v>
      </c>
      <c r="AE22" s="201">
        <f>Expenditure!AE139</f>
        <v>0</v>
      </c>
      <c r="AF22" s="201">
        <f>Expenditure!AF139</f>
        <v>0</v>
      </c>
      <c r="AG22" s="201">
        <f>Expenditure!AG139</f>
        <v>0</v>
      </c>
      <c r="AH22" s="201">
        <f>Expenditure!AH139</f>
        <v>0</v>
      </c>
      <c r="AI22" s="201">
        <f>Expenditure!AI139</f>
        <v>0</v>
      </c>
      <c r="AJ22" s="201">
        <f>Expenditure!AJ139</f>
        <v>0</v>
      </c>
      <c r="AK22" s="201">
        <f>Expenditure!AK139</f>
        <v>0</v>
      </c>
      <c r="AL22" s="201">
        <f>Expenditure!AL139</f>
        <v>0</v>
      </c>
      <c r="AM22" s="201">
        <f>Expenditure!AM139</f>
        <v>0</v>
      </c>
      <c r="AN22" s="201">
        <f>Expenditure!AN139</f>
        <v>0</v>
      </c>
      <c r="AO22" s="201">
        <f>Expenditure!AO139</f>
        <v>0</v>
      </c>
      <c r="AP22" s="201">
        <f>Expenditure!AP139</f>
        <v>0</v>
      </c>
      <c r="AQ22" s="201">
        <f>Expenditure!AQ139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Expenditure!F136</f>
        <v>LV services (CDCM)</v>
      </c>
      <c r="G23" s="115" t="str">
        <f>Expenditure!G136</f>
        <v>£ per year</v>
      </c>
      <c r="H23" s="130"/>
      <c r="I23" s="130"/>
      <c r="J23" s="152">
        <f>Expenditure!J136</f>
        <v>0</v>
      </c>
      <c r="K23" s="152">
        <f>Expenditure!K136</f>
        <v>4139794.4208931457</v>
      </c>
      <c r="L23" s="152">
        <f>Expenditure!L136</f>
        <v>2438902.4614191204</v>
      </c>
      <c r="M23" s="152">
        <f>Expenditure!M136</f>
        <v>3193567.9280888857</v>
      </c>
      <c r="N23" s="152">
        <f>Expenditure!N136</f>
        <v>458174.31890697661</v>
      </c>
      <c r="O23" s="152">
        <f>Expenditure!O136</f>
        <v>989742.93052260019</v>
      </c>
      <c r="P23" s="152">
        <f>Expenditure!P136</f>
        <v>98210.837372582027</v>
      </c>
      <c r="Q23" s="152">
        <f>Expenditure!Q136</f>
        <v>736581.28029436525</v>
      </c>
      <c r="R23" s="152">
        <f>Expenditure!R136</f>
        <v>802055.1718760865</v>
      </c>
      <c r="S23" s="152">
        <f>Expenditure!S136</f>
        <v>1571373.3979613129</v>
      </c>
      <c r="T23" s="152">
        <f>Expenditure!T136</f>
        <v>311000.98501317645</v>
      </c>
      <c r="U23" s="152">
        <f>Expenditure!U136</f>
        <v>163684.7289543034</v>
      </c>
      <c r="V23" s="152">
        <f>Expenditure!V136</f>
        <v>114579.31026801237</v>
      </c>
      <c r="W23" s="152">
        <f>Expenditure!W136</f>
        <v>196421.67474516405</v>
      </c>
      <c r="X23" s="152">
        <f>Expenditure!X136</f>
        <v>687475.86160807428</v>
      </c>
      <c r="Y23" s="152">
        <f>Expenditure!Y136</f>
        <v>0</v>
      </c>
      <c r="Z23" s="152">
        <f>Expenditure!Z136</f>
        <v>0</v>
      </c>
      <c r="AA23" s="152">
        <f>Expenditure!AA136</f>
        <v>147316.25605887303</v>
      </c>
      <c r="AB23" s="152">
        <f>Expenditure!AB136</f>
        <v>196421.67474516405</v>
      </c>
      <c r="AC23" s="152">
        <f>Expenditure!AC136</f>
        <v>965739.90083038982</v>
      </c>
      <c r="AD23" s="152">
        <f>Expenditure!AD136</f>
        <v>261895.56632688543</v>
      </c>
      <c r="AE23" s="152">
        <f>Expenditure!AE136</f>
        <v>0</v>
      </c>
      <c r="AF23" s="152">
        <f>Expenditure!AF136</f>
        <v>0</v>
      </c>
      <c r="AG23" s="152">
        <f>Expenditure!AG136</f>
        <v>0</v>
      </c>
      <c r="AH23" s="152">
        <f>Expenditure!AH136</f>
        <v>0</v>
      </c>
      <c r="AI23" s="152">
        <f>Expenditure!AI136</f>
        <v>0</v>
      </c>
      <c r="AJ23" s="152">
        <f>Expenditure!AJ136</f>
        <v>0</v>
      </c>
      <c r="AK23" s="152">
        <f>Expenditure!AK136</f>
        <v>0</v>
      </c>
      <c r="AL23" s="152">
        <f>Expenditure!AL136</f>
        <v>0</v>
      </c>
      <c r="AM23" s="152">
        <f>Expenditure!AM136</f>
        <v>0</v>
      </c>
      <c r="AN23" s="152">
        <f>Expenditure!AN136</f>
        <v>0</v>
      </c>
      <c r="AO23" s="152">
        <f>Expenditure!AO136</f>
        <v>0</v>
      </c>
      <c r="AP23" s="152">
        <f>Expenditure!AP136</f>
        <v>719996</v>
      </c>
      <c r="AQ23" s="152">
        <f>Expenditure!AQ136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7" t="str">
        <f>Expenditure!F137</f>
        <v>LV mains (CDCM)</v>
      </c>
      <c r="G24" s="117" t="str">
        <f>Expenditure!G137</f>
        <v>£ per year</v>
      </c>
      <c r="H24" s="146"/>
      <c r="I24" s="147"/>
      <c r="J24" s="162">
        <f>Expenditure!J137</f>
        <v>890000.00000000058</v>
      </c>
      <c r="K24" s="162">
        <f>Expenditure!K137</f>
        <v>7537020.1210110364</v>
      </c>
      <c r="L24" s="162">
        <f>Expenditure!L137</f>
        <v>4440330.8609062275</v>
      </c>
      <c r="M24" s="162">
        <f>Expenditure!M137</f>
        <v>5814294.9346331181</v>
      </c>
      <c r="N24" s="162">
        <f>Expenditure!N137</f>
        <v>834164.38340611616</v>
      </c>
      <c r="O24" s="162">
        <f>Expenditure!O137</f>
        <v>1801952.3733663715</v>
      </c>
      <c r="P24" s="162">
        <f>Expenditure!P137</f>
        <v>178805.26956669372</v>
      </c>
      <c r="Q24" s="162">
        <f>Expenditure!Q137</f>
        <v>1341039.5217502029</v>
      </c>
      <c r="R24" s="162">
        <f>Expenditure!R137</f>
        <v>1460243.0347946652</v>
      </c>
      <c r="S24" s="162">
        <f>Expenditure!S137</f>
        <v>2860884.3130671</v>
      </c>
      <c r="T24" s="162">
        <f>Expenditure!T137</f>
        <v>566216.68696119683</v>
      </c>
      <c r="U24" s="162">
        <f>Expenditure!U137</f>
        <v>298008.78261115623</v>
      </c>
      <c r="V24" s="162">
        <f>Expenditure!V137</f>
        <v>208606.14782780936</v>
      </c>
      <c r="W24" s="162">
        <f>Expenditure!W137</f>
        <v>357610.53913338744</v>
      </c>
      <c r="X24" s="162">
        <f>Expenditure!X137</f>
        <v>1251636.886966856</v>
      </c>
      <c r="Y24" s="162">
        <f>Expenditure!Y137</f>
        <v>0</v>
      </c>
      <c r="Z24" s="162">
        <f>Expenditure!Z137</f>
        <v>0</v>
      </c>
      <c r="AA24" s="162">
        <f>Expenditure!AA137</f>
        <v>268207.90435004054</v>
      </c>
      <c r="AB24" s="162">
        <f>Expenditure!AB137</f>
        <v>357610.53913338744</v>
      </c>
      <c r="AC24" s="162">
        <f>Expenditure!AC137</f>
        <v>1758251.8174058213</v>
      </c>
      <c r="AD24" s="162">
        <f>Expenditure!AD137</f>
        <v>476814.05217784992</v>
      </c>
      <c r="AE24" s="162">
        <f>Expenditure!AE137</f>
        <v>0</v>
      </c>
      <c r="AF24" s="162">
        <f>Expenditure!AF137</f>
        <v>0</v>
      </c>
      <c r="AG24" s="162">
        <f>Expenditure!AG137</f>
        <v>0</v>
      </c>
      <c r="AH24" s="162">
        <f>Expenditure!AH137</f>
        <v>0</v>
      </c>
      <c r="AI24" s="162">
        <f>Expenditure!AI137</f>
        <v>0</v>
      </c>
      <c r="AJ24" s="162">
        <f>Expenditure!AJ137</f>
        <v>0</v>
      </c>
      <c r="AK24" s="162">
        <f>Expenditure!AK137</f>
        <v>0</v>
      </c>
      <c r="AL24" s="162">
        <f>Expenditure!AL137</f>
        <v>0</v>
      </c>
      <c r="AM24" s="162">
        <f>Expenditure!AM137</f>
        <v>0</v>
      </c>
      <c r="AN24" s="162">
        <f>Expenditure!AN137</f>
        <v>0</v>
      </c>
      <c r="AO24" s="162">
        <f>Expenditure!AO137</f>
        <v>0</v>
      </c>
      <c r="AP24" s="162">
        <f>Expenditure!AP137</f>
        <v>0</v>
      </c>
      <c r="AQ24" s="162">
        <f>Expenditure!AQ137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3"/>
      <c r="AT25" s="42"/>
    </row>
    <row r="26" spans="1:46" x14ac:dyDescent="0.25">
      <c r="A26" s="115"/>
      <c r="B26" s="73"/>
      <c r="C26" s="73"/>
      <c r="D26" s="73"/>
      <c r="E26" s="112" t="s">
        <v>333</v>
      </c>
      <c r="F26" s="73"/>
      <c r="G26" s="73"/>
      <c r="H26" s="74"/>
      <c r="I26" s="132" t="s">
        <v>314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115" t="s">
        <v>585</v>
      </c>
      <c r="AT26" s="42"/>
    </row>
    <row r="27" spans="1:46" x14ac:dyDescent="0.25">
      <c r="A27" s="73"/>
      <c r="B27" s="73"/>
      <c r="C27" s="73"/>
      <c r="D27" s="73"/>
      <c r="E27" s="73"/>
      <c r="F27" s="113" t="s">
        <v>291</v>
      </c>
      <c r="G27" s="113" t="s">
        <v>438</v>
      </c>
      <c r="H27" s="145"/>
      <c r="I27" s="145"/>
      <c r="J27" s="145">
        <f t="shared" ref="J27:AQ27" si="0">MAX(J21, 0)</f>
        <v>4900000</v>
      </c>
      <c r="K27" s="145">
        <f t="shared" si="0"/>
        <v>13146272.351747425</v>
      </c>
      <c r="L27" s="145">
        <f t="shared" si="0"/>
        <v>3272202.7985191746</v>
      </c>
      <c r="M27" s="145">
        <f t="shared" si="0"/>
        <v>1241572.018682624</v>
      </c>
      <c r="N27" s="145">
        <f t="shared" si="0"/>
        <v>2143922.1852150229</v>
      </c>
      <c r="O27" s="145">
        <f t="shared" si="0"/>
        <v>391322.30665870052</v>
      </c>
      <c r="P27" s="145">
        <f t="shared" si="0"/>
        <v>131766.55564506742</v>
      </c>
      <c r="Q27" s="145">
        <f t="shared" si="0"/>
        <v>988249.16733800573</v>
      </c>
      <c r="R27" s="145">
        <f t="shared" si="0"/>
        <v>1076093.5377680503</v>
      </c>
      <c r="S27" s="145">
        <f t="shared" si="0"/>
        <v>2108264.8903210792</v>
      </c>
      <c r="T27" s="145">
        <f t="shared" si="0"/>
        <v>417260.75954271352</v>
      </c>
      <c r="U27" s="145">
        <f t="shared" si="0"/>
        <v>219610.92607511237</v>
      </c>
      <c r="V27" s="145">
        <f t="shared" si="0"/>
        <v>153727.64825257866</v>
      </c>
      <c r="W27" s="145">
        <f t="shared" si="0"/>
        <v>263533.11129013484</v>
      </c>
      <c r="X27" s="145">
        <f t="shared" si="0"/>
        <v>922365.88951547199</v>
      </c>
      <c r="Y27" s="145">
        <f t="shared" si="0"/>
        <v>0</v>
      </c>
      <c r="Z27" s="145">
        <f t="shared" si="0"/>
        <v>0</v>
      </c>
      <c r="AA27" s="145">
        <f t="shared" si="0"/>
        <v>197649.8334676011</v>
      </c>
      <c r="AB27" s="145">
        <f t="shared" si="0"/>
        <v>263533.11129013484</v>
      </c>
      <c r="AC27" s="145">
        <f t="shared" si="0"/>
        <v>1295704.4638431629</v>
      </c>
      <c r="AD27" s="145">
        <f t="shared" si="0"/>
        <v>351377.48172017979</v>
      </c>
      <c r="AE27" s="145">
        <f t="shared" si="0"/>
        <v>0</v>
      </c>
      <c r="AF27" s="145">
        <f t="shared" si="0"/>
        <v>0</v>
      </c>
      <c r="AG27" s="145">
        <f t="shared" si="0"/>
        <v>0</v>
      </c>
      <c r="AH27" s="145">
        <f t="shared" si="0"/>
        <v>0</v>
      </c>
      <c r="AI27" s="145">
        <f t="shared" si="0"/>
        <v>0</v>
      </c>
      <c r="AJ27" s="145">
        <f t="shared" si="0"/>
        <v>0</v>
      </c>
      <c r="AK27" s="145">
        <f t="shared" si="0"/>
        <v>0</v>
      </c>
      <c r="AL27" s="145">
        <f t="shared" si="0"/>
        <v>0</v>
      </c>
      <c r="AM27" s="145">
        <f t="shared" si="0"/>
        <v>0</v>
      </c>
      <c r="AN27" s="145">
        <f t="shared" si="0"/>
        <v>0</v>
      </c>
      <c r="AO27" s="145">
        <f t="shared" si="0"/>
        <v>0</v>
      </c>
      <c r="AP27" s="145">
        <f t="shared" ref="AP27" si="1">MAX(AP21, 0)</f>
        <v>0</v>
      </c>
      <c r="AQ27" s="145">
        <f t="shared" si="0"/>
        <v>0</v>
      </c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5" t="s">
        <v>285</v>
      </c>
      <c r="G28" s="115" t="s">
        <v>438</v>
      </c>
      <c r="H28" s="130"/>
      <c r="I28" s="130"/>
      <c r="J28" s="130">
        <f t="shared" ref="J28:AQ28" si="2">MAX(J22, 0)</f>
        <v>1160000.0000000002</v>
      </c>
      <c r="K28" s="130">
        <f t="shared" si="2"/>
        <v>14716217.899358833</v>
      </c>
      <c r="L28" s="130">
        <f t="shared" si="2"/>
        <v>3911933.2850762713</v>
      </c>
      <c r="M28" s="130">
        <f t="shared" si="2"/>
        <v>2788800.4438646915</v>
      </c>
      <c r="N28" s="130">
        <f t="shared" si="2"/>
        <v>852509.17161176249</v>
      </c>
      <c r="O28" s="130">
        <f t="shared" si="2"/>
        <v>2117495.7467988227</v>
      </c>
      <c r="P28" s="130">
        <f t="shared" si="2"/>
        <v>157527.5148352861</v>
      </c>
      <c r="Q28" s="130">
        <f t="shared" si="2"/>
        <v>1181456.3612646456</v>
      </c>
      <c r="R28" s="130">
        <f t="shared" si="2"/>
        <v>1286474.7044881694</v>
      </c>
      <c r="S28" s="130">
        <f t="shared" si="2"/>
        <v>2520440.2373645781</v>
      </c>
      <c r="T28" s="130">
        <f t="shared" si="2"/>
        <v>498837.13031173928</v>
      </c>
      <c r="U28" s="130">
        <f t="shared" si="2"/>
        <v>262545.85805881012</v>
      </c>
      <c r="V28" s="130">
        <f t="shared" si="2"/>
        <v>183782.10064116711</v>
      </c>
      <c r="W28" s="130">
        <f t="shared" si="2"/>
        <v>315055.0296705722</v>
      </c>
      <c r="X28" s="130">
        <f t="shared" si="2"/>
        <v>1102692.6038470026</v>
      </c>
      <c r="Y28" s="130">
        <f t="shared" si="2"/>
        <v>0</v>
      </c>
      <c r="Z28" s="130">
        <f t="shared" si="2"/>
        <v>0</v>
      </c>
      <c r="AA28" s="130">
        <f t="shared" si="2"/>
        <v>236291.27225292911</v>
      </c>
      <c r="AB28" s="130">
        <f t="shared" si="2"/>
        <v>315055.0296705722</v>
      </c>
      <c r="AC28" s="130">
        <f t="shared" si="2"/>
        <v>1549020.5625469796</v>
      </c>
      <c r="AD28" s="130">
        <f t="shared" si="2"/>
        <v>420073.37289409625</v>
      </c>
      <c r="AE28" s="130">
        <f t="shared" si="2"/>
        <v>0</v>
      </c>
      <c r="AF28" s="130">
        <f t="shared" si="2"/>
        <v>0</v>
      </c>
      <c r="AG28" s="130">
        <f t="shared" si="2"/>
        <v>0</v>
      </c>
      <c r="AH28" s="130">
        <f t="shared" si="2"/>
        <v>0</v>
      </c>
      <c r="AI28" s="130">
        <f t="shared" si="2"/>
        <v>0</v>
      </c>
      <c r="AJ28" s="130">
        <f t="shared" si="2"/>
        <v>0</v>
      </c>
      <c r="AK28" s="130">
        <f t="shared" si="2"/>
        <v>0</v>
      </c>
      <c r="AL28" s="130">
        <f t="shared" si="2"/>
        <v>0</v>
      </c>
      <c r="AM28" s="130">
        <f t="shared" si="2"/>
        <v>0</v>
      </c>
      <c r="AN28" s="130">
        <f t="shared" si="2"/>
        <v>0</v>
      </c>
      <c r="AO28" s="130">
        <f t="shared" si="2"/>
        <v>0</v>
      </c>
      <c r="AP28" s="130">
        <f t="shared" ref="AP28" si="3">MAX(AP22, 0)</f>
        <v>0</v>
      </c>
      <c r="AQ28" s="130">
        <f t="shared" si="2"/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">
        <v>282</v>
      </c>
      <c r="G29" s="115" t="s">
        <v>438</v>
      </c>
      <c r="H29" s="130"/>
      <c r="I29" s="130"/>
      <c r="J29" s="130">
        <f t="shared" ref="J29:AQ29" si="4">MAX(J23, 0)</f>
        <v>0</v>
      </c>
      <c r="K29" s="130">
        <f t="shared" si="4"/>
        <v>4139794.4208931457</v>
      </c>
      <c r="L29" s="130">
        <f t="shared" si="4"/>
        <v>2438902.4614191204</v>
      </c>
      <c r="M29" s="130">
        <f t="shared" si="4"/>
        <v>3193567.9280888857</v>
      </c>
      <c r="N29" s="130">
        <f t="shared" si="4"/>
        <v>458174.31890697661</v>
      </c>
      <c r="O29" s="130">
        <f t="shared" si="4"/>
        <v>989742.93052260019</v>
      </c>
      <c r="P29" s="130">
        <f t="shared" si="4"/>
        <v>98210.837372582027</v>
      </c>
      <c r="Q29" s="130">
        <f t="shared" si="4"/>
        <v>736581.28029436525</v>
      </c>
      <c r="R29" s="130">
        <f t="shared" si="4"/>
        <v>802055.1718760865</v>
      </c>
      <c r="S29" s="130">
        <f t="shared" si="4"/>
        <v>1571373.3979613129</v>
      </c>
      <c r="T29" s="130">
        <f t="shared" si="4"/>
        <v>311000.98501317645</v>
      </c>
      <c r="U29" s="130">
        <f t="shared" si="4"/>
        <v>163684.7289543034</v>
      </c>
      <c r="V29" s="130">
        <f t="shared" si="4"/>
        <v>114579.31026801237</v>
      </c>
      <c r="W29" s="130">
        <f t="shared" si="4"/>
        <v>196421.67474516405</v>
      </c>
      <c r="X29" s="130">
        <f t="shared" si="4"/>
        <v>687475.86160807428</v>
      </c>
      <c r="Y29" s="130">
        <f t="shared" si="4"/>
        <v>0</v>
      </c>
      <c r="Z29" s="130">
        <f t="shared" si="4"/>
        <v>0</v>
      </c>
      <c r="AA29" s="130">
        <f t="shared" si="4"/>
        <v>147316.25605887303</v>
      </c>
      <c r="AB29" s="130">
        <f t="shared" si="4"/>
        <v>196421.67474516405</v>
      </c>
      <c r="AC29" s="130">
        <f t="shared" si="4"/>
        <v>965739.90083038982</v>
      </c>
      <c r="AD29" s="130">
        <f t="shared" si="4"/>
        <v>261895.56632688543</v>
      </c>
      <c r="AE29" s="130">
        <f t="shared" si="4"/>
        <v>0</v>
      </c>
      <c r="AF29" s="130">
        <f t="shared" si="4"/>
        <v>0</v>
      </c>
      <c r="AG29" s="130">
        <f t="shared" si="4"/>
        <v>0</v>
      </c>
      <c r="AH29" s="130">
        <f t="shared" si="4"/>
        <v>0</v>
      </c>
      <c r="AI29" s="130">
        <f t="shared" si="4"/>
        <v>0</v>
      </c>
      <c r="AJ29" s="130">
        <f t="shared" si="4"/>
        <v>0</v>
      </c>
      <c r="AK29" s="130">
        <f t="shared" si="4"/>
        <v>0</v>
      </c>
      <c r="AL29" s="130">
        <f t="shared" si="4"/>
        <v>0</v>
      </c>
      <c r="AM29" s="130">
        <f t="shared" si="4"/>
        <v>0</v>
      </c>
      <c r="AN29" s="130">
        <f t="shared" si="4"/>
        <v>0</v>
      </c>
      <c r="AO29" s="130">
        <f t="shared" si="4"/>
        <v>0</v>
      </c>
      <c r="AP29" s="130">
        <f t="shared" ref="AP29" si="5">MAX(AP23, 0)</f>
        <v>719996</v>
      </c>
      <c r="AQ29" s="130">
        <f t="shared" si="4"/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7" t="s">
        <v>283</v>
      </c>
      <c r="G30" s="117" t="s">
        <v>438</v>
      </c>
      <c r="H30" s="146"/>
      <c r="I30" s="147"/>
      <c r="J30" s="147">
        <f t="shared" ref="J30:AQ30" si="6">MAX(J24, 0)</f>
        <v>890000.00000000058</v>
      </c>
      <c r="K30" s="147">
        <f t="shared" si="6"/>
        <v>7537020.1210110364</v>
      </c>
      <c r="L30" s="147">
        <f t="shared" si="6"/>
        <v>4440330.8609062275</v>
      </c>
      <c r="M30" s="147">
        <f t="shared" si="6"/>
        <v>5814294.9346331181</v>
      </c>
      <c r="N30" s="147">
        <f t="shared" si="6"/>
        <v>834164.38340611616</v>
      </c>
      <c r="O30" s="147">
        <f t="shared" si="6"/>
        <v>1801952.3733663715</v>
      </c>
      <c r="P30" s="147">
        <f t="shared" si="6"/>
        <v>178805.26956669372</v>
      </c>
      <c r="Q30" s="147">
        <f t="shared" si="6"/>
        <v>1341039.5217502029</v>
      </c>
      <c r="R30" s="147">
        <f t="shared" si="6"/>
        <v>1460243.0347946652</v>
      </c>
      <c r="S30" s="147">
        <f t="shared" si="6"/>
        <v>2860884.3130671</v>
      </c>
      <c r="T30" s="147">
        <f t="shared" si="6"/>
        <v>566216.68696119683</v>
      </c>
      <c r="U30" s="147">
        <f t="shared" si="6"/>
        <v>298008.78261115623</v>
      </c>
      <c r="V30" s="147">
        <f t="shared" si="6"/>
        <v>208606.14782780936</v>
      </c>
      <c r="W30" s="147">
        <f t="shared" si="6"/>
        <v>357610.53913338744</v>
      </c>
      <c r="X30" s="147">
        <f t="shared" si="6"/>
        <v>1251636.886966856</v>
      </c>
      <c r="Y30" s="147">
        <f t="shared" si="6"/>
        <v>0</v>
      </c>
      <c r="Z30" s="147">
        <f t="shared" si="6"/>
        <v>0</v>
      </c>
      <c r="AA30" s="147">
        <f t="shared" si="6"/>
        <v>268207.90435004054</v>
      </c>
      <c r="AB30" s="147">
        <f t="shared" si="6"/>
        <v>357610.53913338744</v>
      </c>
      <c r="AC30" s="147">
        <f t="shared" si="6"/>
        <v>1758251.8174058213</v>
      </c>
      <c r="AD30" s="147">
        <f t="shared" si="6"/>
        <v>476814.05217784992</v>
      </c>
      <c r="AE30" s="147">
        <f t="shared" si="6"/>
        <v>0</v>
      </c>
      <c r="AF30" s="147">
        <f t="shared" si="6"/>
        <v>0</v>
      </c>
      <c r="AG30" s="147">
        <f t="shared" si="6"/>
        <v>0</v>
      </c>
      <c r="AH30" s="147">
        <f t="shared" si="6"/>
        <v>0</v>
      </c>
      <c r="AI30" s="147">
        <f t="shared" si="6"/>
        <v>0</v>
      </c>
      <c r="AJ30" s="147">
        <f t="shared" si="6"/>
        <v>0</v>
      </c>
      <c r="AK30" s="147">
        <f t="shared" si="6"/>
        <v>0</v>
      </c>
      <c r="AL30" s="147">
        <f t="shared" si="6"/>
        <v>0</v>
      </c>
      <c r="AM30" s="147">
        <f t="shared" si="6"/>
        <v>0</v>
      </c>
      <c r="AN30" s="147">
        <f t="shared" si="6"/>
        <v>0</v>
      </c>
      <c r="AO30" s="147">
        <f t="shared" si="6"/>
        <v>0</v>
      </c>
      <c r="AP30" s="147">
        <f t="shared" ref="AP30" si="7">MAX(AP24, 0)</f>
        <v>0</v>
      </c>
      <c r="AQ30" s="147">
        <f t="shared" si="6"/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3"/>
      <c r="AT31" s="42"/>
    </row>
    <row r="32" spans="1:46" x14ac:dyDescent="0.25">
      <c r="A32" s="73"/>
      <c r="B32" s="101"/>
      <c r="C32" s="110" t="s">
        <v>662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0"/>
      <c r="AT32" s="42"/>
    </row>
    <row r="33" spans="1:4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73"/>
      <c r="C34" s="73"/>
      <c r="D34" s="109"/>
      <c r="E34" s="112" t="s">
        <v>331</v>
      </c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3"/>
      <c r="AT34" s="42"/>
    </row>
    <row r="35" spans="1:46" x14ac:dyDescent="0.25">
      <c r="A35" s="115"/>
      <c r="B35" s="73"/>
      <c r="C35" s="73"/>
      <c r="D35" s="73"/>
      <c r="E35" s="73"/>
      <c r="F35" s="113" t="s">
        <v>291</v>
      </c>
      <c r="G35" s="113" t="s">
        <v>438</v>
      </c>
      <c r="H35" s="145">
        <f>SUM(J27:AQ27)</f>
        <v>33484429.036892243</v>
      </c>
      <c r="I35" s="143" t="s">
        <v>314</v>
      </c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74"/>
      <c r="AS35" s="115" t="s">
        <v>586</v>
      </c>
      <c r="AT35" s="42"/>
    </row>
    <row r="36" spans="1:46" x14ac:dyDescent="0.25">
      <c r="A36" s="115"/>
      <c r="B36" s="73"/>
      <c r="C36" s="73"/>
      <c r="D36" s="73"/>
      <c r="E36" s="73"/>
      <c r="F36" s="115" t="s">
        <v>285</v>
      </c>
      <c r="G36" s="115" t="s">
        <v>438</v>
      </c>
      <c r="H36" s="130">
        <f>SUM(J28:AQ28)</f>
        <v>35576208.324556932</v>
      </c>
      <c r="I36" s="143" t="s">
        <v>314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74"/>
      <c r="AS36" s="115" t="s">
        <v>587</v>
      </c>
      <c r="AT36" s="42"/>
    </row>
    <row r="37" spans="1:46" x14ac:dyDescent="0.25">
      <c r="A37" s="115"/>
      <c r="B37" s="73"/>
      <c r="C37" s="73"/>
      <c r="D37" s="73"/>
      <c r="E37" s="73"/>
      <c r="F37" s="115" t="s">
        <v>282</v>
      </c>
      <c r="G37" s="115" t="s">
        <v>438</v>
      </c>
      <c r="H37" s="130">
        <f>SUM(J29:AQ29)</f>
        <v>18192934.705885123</v>
      </c>
      <c r="I37" s="143" t="s">
        <v>314</v>
      </c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74"/>
      <c r="AS37" s="115" t="s">
        <v>588</v>
      </c>
      <c r="AT37" s="42"/>
    </row>
    <row r="38" spans="1:46" x14ac:dyDescent="0.25">
      <c r="A38" s="115"/>
      <c r="B38" s="73"/>
      <c r="C38" s="73"/>
      <c r="D38" s="73"/>
      <c r="E38" s="73"/>
      <c r="F38" s="117" t="s">
        <v>283</v>
      </c>
      <c r="G38" s="117" t="s">
        <v>438</v>
      </c>
      <c r="H38" s="146">
        <f>SUM(J30:AQ30)</f>
        <v>32701698.169069041</v>
      </c>
      <c r="I38" s="143" t="s">
        <v>314</v>
      </c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74"/>
      <c r="AS38" s="115" t="s">
        <v>588</v>
      </c>
      <c r="AT38" s="42"/>
    </row>
    <row r="39" spans="1:46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inputs'!E$139</f>
        <v>Direct cost indicator, by cost category</v>
      </c>
      <c r="F40" s="73"/>
      <c r="G40" s="115" t="str">
        <f>'Fixed inputs'!G$140</f>
        <v>flag</v>
      </c>
      <c r="H40" s="136"/>
      <c r="I40" s="136"/>
      <c r="J40" s="202">
        <f>'Fixed inputs'!H140</f>
        <v>1</v>
      </c>
      <c r="K40" s="202">
        <f>'Fixed inputs'!H141</f>
        <v>1</v>
      </c>
      <c r="L40" s="202">
        <f>'Fixed inputs'!H142</f>
        <v>1</v>
      </c>
      <c r="M40" s="202">
        <f>'Fixed inputs'!H143</f>
        <v>1</v>
      </c>
      <c r="N40" s="202">
        <f>'Fixed inputs'!H144</f>
        <v>1</v>
      </c>
      <c r="O40" s="202">
        <f>'Fixed inputs'!H145</f>
        <v>1</v>
      </c>
      <c r="P40" s="202">
        <f>'Fixed inputs'!H146</f>
        <v>0</v>
      </c>
      <c r="Q40" s="202">
        <f>'Fixed inputs'!H147</f>
        <v>0</v>
      </c>
      <c r="R40" s="202">
        <f>'Fixed inputs'!H148</f>
        <v>0</v>
      </c>
      <c r="S40" s="202">
        <f>'Fixed inputs'!H149</f>
        <v>0</v>
      </c>
      <c r="T40" s="202">
        <f>'Fixed inputs'!H150</f>
        <v>0</v>
      </c>
      <c r="U40" s="202">
        <f>'Fixed inputs'!H151</f>
        <v>0</v>
      </c>
      <c r="V40" s="202">
        <f>'Fixed inputs'!H152</f>
        <v>0</v>
      </c>
      <c r="W40" s="202">
        <f>'Fixed inputs'!H153</f>
        <v>0</v>
      </c>
      <c r="X40" s="202">
        <f>'Fixed inputs'!H154</f>
        <v>0</v>
      </c>
      <c r="Y40" s="202">
        <f>'Fixed inputs'!H155</f>
        <v>0</v>
      </c>
      <c r="Z40" s="202">
        <f>'Fixed inputs'!H156</f>
        <v>0</v>
      </c>
      <c r="AA40" s="202">
        <f>'Fixed inputs'!H157</f>
        <v>0</v>
      </c>
      <c r="AB40" s="202">
        <f>'Fixed inputs'!H158</f>
        <v>0</v>
      </c>
      <c r="AC40" s="202">
        <f>'Fixed inputs'!H159</f>
        <v>0</v>
      </c>
      <c r="AD40" s="202">
        <f>'Fixed inputs'!H160</f>
        <v>0</v>
      </c>
      <c r="AE40" s="202">
        <f>'Fixed inputs'!H161</f>
        <v>1</v>
      </c>
      <c r="AF40" s="202">
        <f>'Fixed inputs'!H162</f>
        <v>1</v>
      </c>
      <c r="AG40" s="202">
        <f>'Fixed inputs'!H163</f>
        <v>1</v>
      </c>
      <c r="AH40" s="202">
        <f>'Fixed inputs'!H164</f>
        <v>1</v>
      </c>
      <c r="AI40" s="202">
        <f>'Fixed inputs'!H165</f>
        <v>1</v>
      </c>
      <c r="AJ40" s="202">
        <f>'Fixed inputs'!H166</f>
        <v>1</v>
      </c>
      <c r="AK40" s="202">
        <f>'Fixed inputs'!H167</f>
        <v>1</v>
      </c>
      <c r="AL40" s="202">
        <f>'Fixed inputs'!H168</f>
        <v>1</v>
      </c>
      <c r="AM40" s="202">
        <f>'Fixed inputs'!H169</f>
        <v>1</v>
      </c>
      <c r="AN40" s="202">
        <f>'Fixed inputs'!H170</f>
        <v>1</v>
      </c>
      <c r="AO40" s="202">
        <f>'Fixed inputs'!H171</f>
        <v>1</v>
      </c>
      <c r="AP40" s="202">
        <f>'Fixed inputs'!H172</f>
        <v>0</v>
      </c>
      <c r="AQ40" s="202">
        <f>'Fixed inputs'!H173</f>
        <v>1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09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73"/>
      <c r="B42" s="73"/>
      <c r="C42" s="73"/>
      <c r="D42" s="73"/>
      <c r="E42" s="112" t="s">
        <v>334</v>
      </c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3"/>
      <c r="AT42" s="42"/>
    </row>
    <row r="43" spans="1:46" x14ac:dyDescent="0.25">
      <c r="A43" s="115"/>
      <c r="B43" s="73"/>
      <c r="C43" s="73"/>
      <c r="D43" s="73"/>
      <c r="E43" s="73"/>
      <c r="F43" s="113" t="s">
        <v>291</v>
      </c>
      <c r="G43" s="113" t="s">
        <v>438</v>
      </c>
      <c r="H43" s="145">
        <f>SUMPRODUCT(J27:AQ27, J$40:AQ$40)</f>
        <v>25095291.660822947</v>
      </c>
      <c r="I43" s="143" t="s">
        <v>314</v>
      </c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115" t="s">
        <v>586</v>
      </c>
      <c r="AT43" s="42"/>
    </row>
    <row r="44" spans="1:46" x14ac:dyDescent="0.25">
      <c r="A44" s="115"/>
      <c r="B44" s="73"/>
      <c r="C44" s="73"/>
      <c r="D44" s="73"/>
      <c r="E44" s="73"/>
      <c r="F44" s="115" t="s">
        <v>285</v>
      </c>
      <c r="G44" s="115" t="s">
        <v>438</v>
      </c>
      <c r="H44" s="130">
        <f>SUMPRODUCT(J28:AQ28, J$40:AQ$40)</f>
        <v>25546956.546710379</v>
      </c>
      <c r="I44" s="143" t="s">
        <v>314</v>
      </c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115" t="s">
        <v>587</v>
      </c>
      <c r="AT44" s="42"/>
    </row>
    <row r="45" spans="1:46" x14ac:dyDescent="0.25">
      <c r="A45" s="115"/>
      <c r="B45" s="73"/>
      <c r="C45" s="73"/>
      <c r="D45" s="73"/>
      <c r="E45" s="73"/>
      <c r="F45" s="115" t="s">
        <v>282</v>
      </c>
      <c r="G45" s="115" t="s">
        <v>438</v>
      </c>
      <c r="H45" s="130">
        <f>SUMPRODUCT(J29:AQ29, J$40:AQ$40)</f>
        <v>11220182.059830729</v>
      </c>
      <c r="I45" s="143" t="s">
        <v>314</v>
      </c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115" t="s">
        <v>588</v>
      </c>
      <c r="AT45" s="42"/>
    </row>
    <row r="46" spans="1:46" x14ac:dyDescent="0.25">
      <c r="A46" s="115"/>
      <c r="B46" s="73"/>
      <c r="C46" s="73"/>
      <c r="D46" s="73"/>
      <c r="E46" s="73"/>
      <c r="F46" s="117" t="s">
        <v>283</v>
      </c>
      <c r="G46" s="117" t="s">
        <v>438</v>
      </c>
      <c r="H46" s="146">
        <f>SUMPRODUCT(J30:AQ30, J$40:AQ$40)</f>
        <v>21317762.673322871</v>
      </c>
      <c r="I46" s="143" t="s">
        <v>314</v>
      </c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115" t="s">
        <v>588</v>
      </c>
      <c r="AT46" s="42"/>
    </row>
    <row r="47" spans="1:46" x14ac:dyDescent="0.25">
      <c r="A47" s="73"/>
      <c r="B47" s="73"/>
      <c r="C47" s="73"/>
      <c r="D47" s="73"/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3"/>
      <c r="AT47" s="42"/>
    </row>
    <row r="48" spans="1:46" x14ac:dyDescent="0.25">
      <c r="A48" s="73"/>
      <c r="B48" s="73"/>
      <c r="C48" s="73"/>
      <c r="D48" s="73"/>
      <c r="E48" s="112" t="s">
        <v>474</v>
      </c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3" t="s">
        <v>291</v>
      </c>
      <c r="G49" s="113" t="s">
        <v>470</v>
      </c>
      <c r="H49" s="145" t="b">
        <f>H43 &gt; 0</f>
        <v>1</v>
      </c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115" t="s">
        <v>285</v>
      </c>
      <c r="G50" s="115" t="s">
        <v>470</v>
      </c>
      <c r="H50" s="130" t="b">
        <f>H44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73"/>
      <c r="F51" s="117" t="s">
        <v>475</v>
      </c>
      <c r="G51" s="117" t="s">
        <v>470</v>
      </c>
      <c r="H51" s="158" t="b">
        <f>H45 + H46 &gt; 0</f>
        <v>1</v>
      </c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74"/>
      <c r="AS51" s="73"/>
      <c r="AT51" s="42"/>
    </row>
    <row r="52" spans="1:4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73"/>
      <c r="C53" s="73"/>
      <c r="D53" s="73"/>
      <c r="E53" s="115" t="s">
        <v>476</v>
      </c>
      <c r="F53" s="73"/>
      <c r="G53" s="115" t="s">
        <v>231</v>
      </c>
      <c r="H53" s="136">
        <f>COUNTIF(H49:H51, "=FALSE")</f>
        <v>0</v>
      </c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74"/>
      <c r="AS53" s="73"/>
      <c r="AT53" s="42"/>
    </row>
    <row r="54" spans="1:46" x14ac:dyDescent="0.25">
      <c r="A54" s="73"/>
      <c r="B54" s="73"/>
      <c r="C54" s="73"/>
      <c r="D54" s="73"/>
      <c r="E54" s="109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73"/>
      <c r="D55" s="73"/>
      <c r="E55" s="112" t="s">
        <v>292</v>
      </c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115"/>
      <c r="B56" s="73"/>
      <c r="C56" s="73"/>
      <c r="D56" s="73"/>
      <c r="E56" s="73"/>
      <c r="F56" s="113" t="s">
        <v>281</v>
      </c>
      <c r="G56" s="113" t="s">
        <v>44</v>
      </c>
      <c r="H56" s="153">
        <f>IF(H49, H43 / H35, 0)</f>
        <v>0.74946153727673326</v>
      </c>
      <c r="I56" s="131" t="s">
        <v>314</v>
      </c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74"/>
      <c r="AS56" s="115" t="s">
        <v>586</v>
      </c>
      <c r="AT56" s="42"/>
    </row>
    <row r="57" spans="1:46" x14ac:dyDescent="0.25">
      <c r="A57" s="115"/>
      <c r="B57" s="73"/>
      <c r="C57" s="73"/>
      <c r="D57" s="73"/>
      <c r="E57" s="73"/>
      <c r="F57" s="115" t="s">
        <v>335</v>
      </c>
      <c r="G57" s="115" t="s">
        <v>44</v>
      </c>
      <c r="H57" s="154">
        <f>IF(H50, H44 / H36, 0)</f>
        <v>0.71809104313896954</v>
      </c>
      <c r="I57" s="131" t="s">
        <v>314</v>
      </c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74"/>
      <c r="AS57" s="115" t="s">
        <v>587</v>
      </c>
      <c r="AT57" s="42"/>
    </row>
    <row r="58" spans="1:46" x14ac:dyDescent="0.25">
      <c r="A58" s="115"/>
      <c r="B58" s="73"/>
      <c r="C58" s="73"/>
      <c r="D58" s="73"/>
      <c r="E58" s="73"/>
      <c r="F58" s="117" t="s">
        <v>336</v>
      </c>
      <c r="G58" s="117" t="s">
        <v>44</v>
      </c>
      <c r="H58" s="203">
        <f>IF(H51, (H45 + H46) / (H37 + H38), 0)</f>
        <v>0.63931976507420485</v>
      </c>
      <c r="I58" s="131" t="s">
        <v>314</v>
      </c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74"/>
      <c r="AS58" s="115" t="s">
        <v>588</v>
      </c>
      <c r="AT58" s="42"/>
    </row>
    <row r="59" spans="1:46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107" t="s">
        <v>242</v>
      </c>
      <c r="C60" s="107"/>
      <c r="D60" s="107"/>
      <c r="E60" s="107"/>
      <c r="F60" s="107"/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7"/>
      <c r="AT60" s="42"/>
    </row>
    <row r="61" spans="1:4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73"/>
      <c r="B62" s="73"/>
      <c r="C62" s="109"/>
      <c r="D62" s="109"/>
      <c r="E62" s="115" t="s">
        <v>232</v>
      </c>
      <c r="F62" s="73"/>
      <c r="G62" s="115" t="s">
        <v>231</v>
      </c>
      <c r="H62" s="159">
        <f>H53</f>
        <v>0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107" t="s">
        <v>30</v>
      </c>
      <c r="C64" s="107"/>
      <c r="D64" s="107"/>
      <c r="E64" s="107"/>
      <c r="F64" s="107"/>
      <c r="G64" s="107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7"/>
      <c r="AT64" s="42"/>
    </row>
  </sheetData>
  <sheetProtection sheet="1" objects="1" formatCells="0" formatColumns="0" formatRows="0" sort="0" autoFilter="0"/>
  <dataConsolidate/>
  <conditionalFormatting sqref="H53">
    <cfRule type="cellIs" dxfId="10" priority="3" stopIfTrue="1" operator="greaterThan">
      <formula>0</formula>
    </cfRule>
  </conditionalFormatting>
  <conditionalFormatting sqref="H62">
    <cfRule type="cellIs" dxfId="9" priority="4" stopIfTrue="1" operator="greaterThan">
      <formula>0</formula>
    </cfRule>
  </conditionalFormatting>
  <conditionalFormatting sqref="A4:AO4 AQ4:XFD4">
    <cfRule type="expression" dxfId="8" priority="2">
      <formula>LEFT($A$4,1) &lt;&gt; "0"</formula>
    </cfRule>
  </conditionalFormatting>
  <conditionalFormatting sqref="AP4">
    <cfRule type="expression" dxfId="7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  <pageSetUpPr fitToPage="1"/>
  </sheetPr>
  <dimension ref="A1:P11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52" sqref="A52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EDCM discounts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2" t="str">
        <f>H113 &amp; IF(H113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</row>
    <row r="5" spans="1:16" ht="4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279</v>
      </c>
      <c r="K5" s="104" t="s">
        <v>293</v>
      </c>
      <c r="L5" s="104" t="s">
        <v>294</v>
      </c>
      <c r="M5" s="104" t="s">
        <v>280</v>
      </c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736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73"/>
      <c r="B11" s="107" t="s">
        <v>323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445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 t="s">
        <v>446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3"/>
      <c r="P15" s="42"/>
    </row>
    <row r="16" spans="1:16" s="1" customFormat="1" x14ac:dyDescent="0.25">
      <c r="A16" s="73"/>
      <c r="B16" s="101"/>
      <c r="C16" s="110" t="s">
        <v>672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0"/>
      <c r="P16" s="42"/>
    </row>
    <row r="17" spans="1:1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73"/>
      <c r="E18" s="112" t="str">
        <f>'Rev allocation'!E177</f>
        <v>Allocation (EDCM), by network level (re-ordered)</v>
      </c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73"/>
      <c r="B19" s="73"/>
      <c r="C19" s="73"/>
      <c r="D19" s="73"/>
      <c r="E19" s="73"/>
      <c r="F19" s="113" t="str">
        <f>'Rev allocation'!F178</f>
        <v>132kV</v>
      </c>
      <c r="G19" s="113" t="str">
        <f>'Rev allocation'!G178</f>
        <v>%</v>
      </c>
      <c r="H19" s="172">
        <f>'Rev allocation'!H178</f>
        <v>9.3209503687126993E-2</v>
      </c>
      <c r="I19" s="135"/>
      <c r="J19" s="135"/>
      <c r="K19" s="135"/>
      <c r="L19" s="135"/>
      <c r="M19" s="135"/>
      <c r="N19" s="74"/>
      <c r="O19" s="73"/>
      <c r="P19" s="42"/>
    </row>
    <row r="20" spans="1:16" x14ac:dyDescent="0.25">
      <c r="A20" s="73"/>
      <c r="B20" s="73"/>
      <c r="C20" s="73"/>
      <c r="D20" s="73"/>
      <c r="E20" s="73"/>
      <c r="F20" s="115" t="str">
        <f>'Rev allocation'!F179</f>
        <v>132kV/EHV</v>
      </c>
      <c r="G20" s="115" t="str">
        <f>'Rev allocation'!G179</f>
        <v>%</v>
      </c>
      <c r="H20" s="166">
        <f>'Rev allocation'!H179</f>
        <v>2.8838016195053707E-2</v>
      </c>
      <c r="I20" s="135"/>
      <c r="J20" s="135"/>
      <c r="K20" s="135"/>
      <c r="L20" s="135"/>
      <c r="M20" s="135"/>
      <c r="N20" s="74"/>
      <c r="O20" s="73"/>
      <c r="P20" s="42"/>
    </row>
    <row r="21" spans="1:16" x14ac:dyDescent="0.25">
      <c r="A21" s="73"/>
      <c r="B21" s="73"/>
      <c r="C21" s="73"/>
      <c r="D21" s="73"/>
      <c r="E21" s="73"/>
      <c r="F21" s="115" t="str">
        <f>'Rev allocation'!F180</f>
        <v>EHV</v>
      </c>
      <c r="G21" s="115" t="str">
        <f>'Rev allocation'!G180</f>
        <v>%</v>
      </c>
      <c r="H21" s="166">
        <f>'Rev allocation'!H180</f>
        <v>7.0779940303928521E-2</v>
      </c>
      <c r="I21" s="135"/>
      <c r="J21" s="135"/>
      <c r="K21" s="135"/>
      <c r="L21" s="135"/>
      <c r="M21" s="135"/>
      <c r="N21" s="74"/>
      <c r="O21" s="73"/>
      <c r="P21" s="42"/>
    </row>
    <row r="22" spans="1:16" x14ac:dyDescent="0.25">
      <c r="A22" s="73"/>
      <c r="B22" s="73"/>
      <c r="C22" s="73"/>
      <c r="D22" s="73"/>
      <c r="E22" s="73"/>
      <c r="F22" s="115" t="str">
        <f>'Rev allocation'!F181</f>
        <v>EHV/HV</v>
      </c>
      <c r="G22" s="115" t="str">
        <f>'Rev allocation'!G181</f>
        <v>%</v>
      </c>
      <c r="H22" s="166">
        <f>'Rev allocation'!H181</f>
        <v>4.6332686218429016E-2</v>
      </c>
      <c r="I22" s="135"/>
      <c r="J22" s="135"/>
      <c r="K22" s="135"/>
      <c r="L22" s="135"/>
      <c r="M22" s="135"/>
      <c r="N22" s="74"/>
      <c r="O22" s="73"/>
      <c r="P22" s="42"/>
    </row>
    <row r="23" spans="1:16" x14ac:dyDescent="0.25">
      <c r="A23" s="73"/>
      <c r="B23" s="73"/>
      <c r="C23" s="73"/>
      <c r="D23" s="73"/>
      <c r="E23" s="73"/>
      <c r="F23" s="115" t="str">
        <f>'Rev allocation'!F182</f>
        <v>HV</v>
      </c>
      <c r="G23" s="115" t="str">
        <f>'Rev allocation'!G182</f>
        <v>%</v>
      </c>
      <c r="H23" s="166">
        <f>'Rev allocation'!H182</f>
        <v>0.23495336065205721</v>
      </c>
      <c r="I23" s="135"/>
      <c r="J23" s="135"/>
      <c r="K23" s="135"/>
      <c r="L23" s="135"/>
      <c r="M23" s="135"/>
      <c r="N23" s="74"/>
      <c r="O23" s="73"/>
      <c r="P23" s="42"/>
    </row>
    <row r="24" spans="1:16" x14ac:dyDescent="0.25">
      <c r="A24" s="73"/>
      <c r="B24" s="73"/>
      <c r="C24" s="73"/>
      <c r="D24" s="73"/>
      <c r="E24" s="73"/>
      <c r="F24" s="115" t="str">
        <f>'Rev allocation'!F183</f>
        <v>HV/LV</v>
      </c>
      <c r="G24" s="115" t="str">
        <f>'Rev allocation'!G183</f>
        <v>%</v>
      </c>
      <c r="H24" s="166">
        <f>'Rev allocation'!H183</f>
        <v>9.2823892306712549E-2</v>
      </c>
      <c r="I24" s="135"/>
      <c r="J24" s="135"/>
      <c r="K24" s="135"/>
      <c r="L24" s="135"/>
      <c r="M24" s="135"/>
      <c r="N24" s="74"/>
      <c r="O24" s="73"/>
      <c r="P24" s="42"/>
    </row>
    <row r="25" spans="1:16" x14ac:dyDescent="0.25">
      <c r="A25" s="73"/>
      <c r="B25" s="73"/>
      <c r="C25" s="73"/>
      <c r="D25" s="73"/>
      <c r="E25" s="73"/>
      <c r="F25" s="117" t="str">
        <f>'Rev allocation'!F184</f>
        <v>LV</v>
      </c>
      <c r="G25" s="117" t="str">
        <f>'Rev allocation'!G184</f>
        <v>%</v>
      </c>
      <c r="H25" s="173">
        <f>'Rev allocation'!H184</f>
        <v>0.38435235108117616</v>
      </c>
      <c r="I25" s="135"/>
      <c r="J25" s="135"/>
      <c r="K25" s="135"/>
      <c r="L25" s="135"/>
      <c r="M25" s="135"/>
      <c r="N25" s="74"/>
      <c r="O25" s="73"/>
      <c r="P25" s="42"/>
    </row>
    <row r="26" spans="1:1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42"/>
    </row>
    <row r="27" spans="1:16" x14ac:dyDescent="0.25">
      <c r="A27" s="73"/>
      <c r="B27" s="107" t="s">
        <v>352</v>
      </c>
      <c r="C27" s="107"/>
      <c r="D27" s="107"/>
      <c r="E27" s="107"/>
      <c r="F27" s="107"/>
      <c r="G27" s="107"/>
      <c r="H27" s="108"/>
      <c r="I27" s="108"/>
      <c r="J27" s="108"/>
      <c r="K27" s="108"/>
      <c r="L27" s="108"/>
      <c r="M27" s="108"/>
      <c r="N27" s="108"/>
      <c r="O27" s="107"/>
      <c r="P27" s="42"/>
    </row>
    <row r="28" spans="1:16" x14ac:dyDescent="0.25">
      <c r="A28" s="73"/>
      <c r="B28" s="73"/>
      <c r="C28" s="73"/>
      <c r="D28" s="73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42"/>
    </row>
    <row r="29" spans="1:16" x14ac:dyDescent="0.25">
      <c r="A29" s="73"/>
      <c r="B29" s="73"/>
      <c r="C29" s="109" t="s">
        <v>447</v>
      </c>
      <c r="D29" s="109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448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73"/>
      <c r="B32" s="101"/>
      <c r="C32" s="110" t="s">
        <v>663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449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x14ac:dyDescent="0.25">
      <c r="A35" s="73"/>
      <c r="B35" s="73"/>
      <c r="C35" s="73"/>
      <c r="D35" s="109" t="s">
        <v>450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tr">
        <f>'Fixed inputs'!E395</f>
        <v>Network levels included in the calculation of "S", by user type and network level</v>
      </c>
      <c r="F37" s="73"/>
      <c r="G37" s="73"/>
      <c r="H37" s="74"/>
      <c r="I37" s="132"/>
      <c r="J37" s="74"/>
      <c r="K37" s="74"/>
      <c r="L37" s="74"/>
      <c r="M37" s="74"/>
      <c r="N37" s="74"/>
      <c r="O37" s="115"/>
      <c r="P37" s="42"/>
    </row>
    <row r="38" spans="1:16" x14ac:dyDescent="0.25">
      <c r="A38" s="73"/>
      <c r="B38" s="73"/>
      <c r="C38" s="73"/>
      <c r="D38" s="73"/>
      <c r="E38" s="73"/>
      <c r="F38" s="113" t="str">
        <f>'Fixed inputs'!F396</f>
        <v>132kV</v>
      </c>
      <c r="G38" s="113" t="str">
        <f>'Fixed inputs'!G396</f>
        <v>flag</v>
      </c>
      <c r="H38" s="138"/>
      <c r="I38" s="138"/>
      <c r="J38" s="204">
        <f>'Fixed inputs'!J396</f>
        <v>1</v>
      </c>
      <c r="K38" s="204">
        <f>'Fixed inputs'!K396</f>
        <v>1</v>
      </c>
      <c r="L38" s="204">
        <f>'Fixed inputs'!L396</f>
        <v>1</v>
      </c>
      <c r="M38" s="204">
        <f>'Fixed inputs'!M396</f>
        <v>1</v>
      </c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tr">
        <f>'Fixed inputs'!F397</f>
        <v>132kV/EHV</v>
      </c>
      <c r="G39" s="115" t="str">
        <f>'Fixed inputs'!G397</f>
        <v>flag</v>
      </c>
      <c r="H39" s="136"/>
      <c r="I39" s="136"/>
      <c r="J39" s="202">
        <f>'Fixed inputs'!J397</f>
        <v>1</v>
      </c>
      <c r="K39" s="202">
        <f>'Fixed inputs'!K397</f>
        <v>1</v>
      </c>
      <c r="L39" s="202">
        <f>'Fixed inputs'!L397</f>
        <v>1</v>
      </c>
      <c r="M39" s="202">
        <f>'Fixed inputs'!M397</f>
        <v>1</v>
      </c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tr">
        <f>'Fixed inputs'!F398</f>
        <v>EHV</v>
      </c>
      <c r="G40" s="115" t="str">
        <f>'Fixed inputs'!G398</f>
        <v>flag</v>
      </c>
      <c r="H40" s="136"/>
      <c r="I40" s="136"/>
      <c r="J40" s="202">
        <f>'Fixed inputs'!J398</f>
        <v>1</v>
      </c>
      <c r="K40" s="202">
        <f>'Fixed inputs'!K398</f>
        <v>1</v>
      </c>
      <c r="L40" s="202">
        <f>'Fixed inputs'!L398</f>
        <v>1</v>
      </c>
      <c r="M40" s="202">
        <f>'Fixed inputs'!M398</f>
        <v>1</v>
      </c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tr">
        <f>'Fixed inputs'!F399</f>
        <v>EHV/HV</v>
      </c>
      <c r="G41" s="115" t="str">
        <f>'Fixed inputs'!G399</f>
        <v>flag</v>
      </c>
      <c r="H41" s="136"/>
      <c r="I41" s="136"/>
      <c r="J41" s="202">
        <f>'Fixed inputs'!J399</f>
        <v>1</v>
      </c>
      <c r="K41" s="202">
        <f>'Fixed inputs'!K399</f>
        <v>1</v>
      </c>
      <c r="L41" s="202">
        <f>'Fixed inputs'!L399</f>
        <v>1</v>
      </c>
      <c r="M41" s="202">
        <f>'Fixed inputs'!M399</f>
        <v>1</v>
      </c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5" t="str">
        <f>'Fixed inputs'!F400</f>
        <v>HV</v>
      </c>
      <c r="G42" s="115" t="str">
        <f>'Fixed inputs'!G400</f>
        <v>flag</v>
      </c>
      <c r="H42" s="136"/>
      <c r="I42" s="136"/>
      <c r="J42" s="202">
        <f>'Fixed inputs'!J400</f>
        <v>1</v>
      </c>
      <c r="K42" s="202">
        <f>'Fixed inputs'!K400</f>
        <v>1</v>
      </c>
      <c r="L42" s="202">
        <f>'Fixed inputs'!L400</f>
        <v>1</v>
      </c>
      <c r="M42" s="139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115" t="str">
        <f>'Fixed inputs'!F401</f>
        <v>HV/LV</v>
      </c>
      <c r="G43" s="115" t="str">
        <f>'Fixed inputs'!G401</f>
        <v>flag</v>
      </c>
      <c r="H43" s="136"/>
      <c r="I43" s="136"/>
      <c r="J43" s="202">
        <f>'Fixed inputs'!J401</f>
        <v>1</v>
      </c>
      <c r="K43" s="202">
        <f>'Fixed inputs'!K401</f>
        <v>1</v>
      </c>
      <c r="L43" s="139"/>
      <c r="M43" s="139"/>
      <c r="N43" s="74"/>
      <c r="O43" s="73"/>
      <c r="P43" s="42"/>
    </row>
    <row r="44" spans="1:16" x14ac:dyDescent="0.25">
      <c r="A44" s="73"/>
      <c r="B44" s="73"/>
      <c r="C44" s="73"/>
      <c r="D44" s="73"/>
      <c r="E44" s="73"/>
      <c r="F44" s="117" t="str">
        <f>'Fixed inputs'!F402</f>
        <v>LV</v>
      </c>
      <c r="G44" s="117" t="str">
        <f>'Fixed inputs'!G402</f>
        <v>flag</v>
      </c>
      <c r="H44" s="140"/>
      <c r="I44" s="141"/>
      <c r="J44" s="205">
        <f>'Fixed inputs'!J402</f>
        <v>1</v>
      </c>
      <c r="K44" s="142"/>
      <c r="L44" s="142"/>
      <c r="M44" s="142"/>
      <c r="N44" s="74"/>
      <c r="O44" s="73"/>
      <c r="P44" s="42"/>
    </row>
    <row r="45" spans="1:16" x14ac:dyDescent="0.25">
      <c r="A45" s="73"/>
      <c r="B45" s="73"/>
      <c r="C45" s="73"/>
      <c r="D45" s="73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115"/>
      <c r="B46" s="73"/>
      <c r="C46" s="73"/>
      <c r="D46" s="73"/>
      <c r="E46" s="115" t="s">
        <v>321</v>
      </c>
      <c r="F46" s="73"/>
      <c r="G46" s="115" t="s">
        <v>44</v>
      </c>
      <c r="H46" s="135"/>
      <c r="I46" s="131" t="s">
        <v>314</v>
      </c>
      <c r="J46" s="177">
        <f>SUMPRODUCT($H19:$H25, J38:J44)</f>
        <v>0.95128975044448416</v>
      </c>
      <c r="K46" s="177">
        <f>SUMPRODUCT($H19:$H25, K38:K44)</f>
        <v>0.566937399363308</v>
      </c>
      <c r="L46" s="177">
        <f>SUMPRODUCT($H19:$H25, L38:L44)</f>
        <v>0.47411350705659544</v>
      </c>
      <c r="M46" s="177">
        <f>SUMPRODUCT($H19:$H25, M38:M44)</f>
        <v>0.23916014640453823</v>
      </c>
      <c r="N46" s="74"/>
      <c r="O46" s="115" t="s">
        <v>567</v>
      </c>
      <c r="P46" s="42"/>
    </row>
    <row r="47" spans="1:16" x14ac:dyDescent="0.25">
      <c r="A47" s="73"/>
      <c r="B47" s="73"/>
      <c r="C47" s="73"/>
      <c r="D47" s="73"/>
      <c r="E47" s="115" t="s">
        <v>532</v>
      </c>
      <c r="F47" s="73"/>
      <c r="G47" s="115" t="s">
        <v>470</v>
      </c>
      <c r="H47" s="130"/>
      <c r="I47" s="130"/>
      <c r="J47" s="184" t="b">
        <f>J46 &gt; 0</f>
        <v>1</v>
      </c>
      <c r="K47" s="184" t="b">
        <f>K46 &gt; 0</f>
        <v>1</v>
      </c>
      <c r="L47" s="184" t="b">
        <f>L46 &gt; 0</f>
        <v>1</v>
      </c>
      <c r="M47" s="184" t="b">
        <f>M46 &gt; 0</f>
        <v>1</v>
      </c>
      <c r="N47" s="74"/>
      <c r="O47" s="73"/>
      <c r="P47" s="42"/>
    </row>
    <row r="48" spans="1:16" x14ac:dyDescent="0.25">
      <c r="A48" s="73"/>
      <c r="B48" s="73"/>
      <c r="C48" s="73"/>
      <c r="D48" s="73"/>
      <c r="E48" s="115" t="s">
        <v>498</v>
      </c>
      <c r="F48" s="73"/>
      <c r="G48" s="115" t="s">
        <v>231</v>
      </c>
      <c r="H48" s="136">
        <f>COUNTIF(J47:M47, "=FALSE")</f>
        <v>0</v>
      </c>
      <c r="I48" s="136"/>
      <c r="J48" s="136"/>
      <c r="K48" s="136"/>
      <c r="L48" s="136"/>
      <c r="M48" s="136"/>
      <c r="N48" s="74"/>
      <c r="O48" s="73"/>
      <c r="P48" s="42"/>
    </row>
    <row r="49" spans="1:16" x14ac:dyDescent="0.25">
      <c r="A49" s="73"/>
      <c r="B49" s="73"/>
      <c r="C49" s="73"/>
      <c r="D49" s="73"/>
      <c r="E49" s="109"/>
      <c r="F49" s="73"/>
      <c r="G49" s="73"/>
      <c r="H49" s="74"/>
      <c r="I49" s="74"/>
      <c r="J49" s="74"/>
      <c r="K49" s="74"/>
      <c r="L49" s="74"/>
      <c r="M49" s="74"/>
      <c r="N49" s="74"/>
      <c r="O49" s="73"/>
      <c r="P49" s="42"/>
    </row>
    <row r="50" spans="1:16" x14ac:dyDescent="0.25">
      <c r="A50" s="73"/>
      <c r="B50" s="101"/>
      <c r="C50" s="110" t="s">
        <v>664</v>
      </c>
      <c r="D50" s="110"/>
      <c r="E50" s="110"/>
      <c r="F50" s="110"/>
      <c r="G50" s="110"/>
      <c r="H50" s="111"/>
      <c r="I50" s="111"/>
      <c r="J50" s="111"/>
      <c r="K50" s="111"/>
      <c r="L50" s="111"/>
      <c r="M50" s="111"/>
      <c r="N50" s="111"/>
      <c r="O50" s="110"/>
      <c r="P50" s="42"/>
    </row>
    <row r="51" spans="1:16" x14ac:dyDescent="0.25">
      <c r="A51" s="73"/>
      <c r="B51" s="73"/>
      <c r="C51" s="109"/>
      <c r="D51" s="109"/>
      <c r="E51" s="73"/>
      <c r="F51" s="73"/>
      <c r="G51" s="73"/>
      <c r="H51" s="74"/>
      <c r="I51" s="74"/>
      <c r="J51" s="74"/>
      <c r="K51" s="74"/>
      <c r="L51" s="74"/>
      <c r="M51" s="74"/>
      <c r="N51" s="74"/>
      <c r="O51" s="73"/>
      <c r="P51" s="42"/>
    </row>
    <row r="52" spans="1:16" x14ac:dyDescent="0.25">
      <c r="A52" s="73"/>
      <c r="B52" s="73"/>
      <c r="C52" s="73"/>
      <c r="D52" s="109" t="s">
        <v>451</v>
      </c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73"/>
      <c r="D53" s="109" t="s">
        <v>452</v>
      </c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73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15"/>
      <c r="B55" s="73"/>
      <c r="C55" s="73"/>
      <c r="D55" s="109"/>
      <c r="E55" s="112" t="s">
        <v>353</v>
      </c>
      <c r="F55" s="73"/>
      <c r="G55" s="73"/>
      <c r="H55" s="74"/>
      <c r="I55" s="132" t="s">
        <v>314</v>
      </c>
      <c r="J55" s="74"/>
      <c r="K55" s="74"/>
      <c r="L55" s="74"/>
      <c r="M55" s="74"/>
      <c r="N55" s="74"/>
      <c r="O55" s="115" t="s">
        <v>567</v>
      </c>
      <c r="P55" s="42"/>
    </row>
    <row r="56" spans="1:16" x14ac:dyDescent="0.25">
      <c r="A56" s="73"/>
      <c r="B56" s="73"/>
      <c r="C56" s="73"/>
      <c r="D56" s="73"/>
      <c r="E56" s="73"/>
      <c r="F56" s="113" t="s">
        <v>296</v>
      </c>
      <c r="G56" s="113" t="s">
        <v>44</v>
      </c>
      <c r="H56" s="149"/>
      <c r="I56" s="149"/>
      <c r="J56" s="180">
        <f>SUMPRODUCT($H19:$H$25, J38:J$44)</f>
        <v>0.95128975044448416</v>
      </c>
      <c r="K56" s="180">
        <f>SUMPRODUCT($H19:$H$25, K38:K$44)</f>
        <v>0.566937399363308</v>
      </c>
      <c r="L56" s="180">
        <f>SUMPRODUCT($H19:$H$25, L38:L$44)</f>
        <v>0.47411350705659544</v>
      </c>
      <c r="M56" s="180">
        <f>SUMPRODUCT($H19:$H$25, M38:M$44)</f>
        <v>0.23916014640453823</v>
      </c>
      <c r="N56" s="74"/>
      <c r="O56" s="73"/>
      <c r="P56" s="42"/>
    </row>
    <row r="57" spans="1:16" x14ac:dyDescent="0.25">
      <c r="A57" s="73"/>
      <c r="B57" s="73"/>
      <c r="C57" s="73"/>
      <c r="D57" s="73"/>
      <c r="E57" s="73"/>
      <c r="F57" s="115" t="s">
        <v>297</v>
      </c>
      <c r="G57" s="115" t="s">
        <v>44</v>
      </c>
      <c r="H57" s="135"/>
      <c r="I57" s="135"/>
      <c r="J57" s="177">
        <f>SUMPRODUCT($H20:$H$25, J39:J$44)</f>
        <v>0.85808024675735717</v>
      </c>
      <c r="K57" s="177">
        <f>SUMPRODUCT($H20:$H$25, K39:K$44)</f>
        <v>0.47372789567618101</v>
      </c>
      <c r="L57" s="177">
        <f>SUMPRODUCT($H20:$H$25, L39:L$44)</f>
        <v>0.38090400336946845</v>
      </c>
      <c r="M57" s="177">
        <f>SUMPRODUCT($H20:$H$25, M39:M$44)</f>
        <v>0.14595064271741123</v>
      </c>
      <c r="N57" s="74"/>
      <c r="O57" s="73"/>
      <c r="P57" s="42"/>
    </row>
    <row r="58" spans="1:16" x14ac:dyDescent="0.25">
      <c r="A58" s="73"/>
      <c r="B58" s="73"/>
      <c r="C58" s="73"/>
      <c r="D58" s="73"/>
      <c r="E58" s="73"/>
      <c r="F58" s="115" t="s">
        <v>298</v>
      </c>
      <c r="G58" s="115" t="s">
        <v>44</v>
      </c>
      <c r="H58" s="135"/>
      <c r="I58" s="135"/>
      <c r="J58" s="177">
        <f>SUMPRODUCT($H21:$H$25, J40:J$44)</f>
        <v>0.82924223056230351</v>
      </c>
      <c r="K58" s="177">
        <f>SUMPRODUCT($H21:$H$25, K40:K$44)</f>
        <v>0.44488987948112729</v>
      </c>
      <c r="L58" s="177">
        <f>SUMPRODUCT($H21:$H$25, L40:L$44)</f>
        <v>0.35206598717441473</v>
      </c>
      <c r="M58" s="177">
        <f>SUMPRODUCT($H21:$H$25, M40:M$44)</f>
        <v>0.11711262652235754</v>
      </c>
      <c r="N58" s="74"/>
      <c r="O58" s="73"/>
      <c r="P58" s="42"/>
    </row>
    <row r="59" spans="1:16" x14ac:dyDescent="0.25">
      <c r="A59" s="73"/>
      <c r="B59" s="73"/>
      <c r="C59" s="73"/>
      <c r="D59" s="73"/>
      <c r="E59" s="73"/>
      <c r="F59" s="115" t="s">
        <v>299</v>
      </c>
      <c r="G59" s="115" t="s">
        <v>44</v>
      </c>
      <c r="H59" s="135"/>
      <c r="I59" s="135"/>
      <c r="J59" s="177">
        <f>SUMPRODUCT($H22:$H$25, J41:J$44)</f>
        <v>0.75846229025837497</v>
      </c>
      <c r="K59" s="177">
        <f>SUMPRODUCT($H22:$H$25, K41:K$44)</f>
        <v>0.37410993917719881</v>
      </c>
      <c r="L59" s="177">
        <f>SUMPRODUCT($H22:$H$25, L41:L$44)</f>
        <v>0.28128604687048625</v>
      </c>
      <c r="M59" s="177">
        <f>SUMPRODUCT($H22:$H$25, M41:M$44)</f>
        <v>4.6332686218429016E-2</v>
      </c>
      <c r="N59" s="74"/>
      <c r="O59" s="73"/>
      <c r="P59" s="42"/>
    </row>
    <row r="60" spans="1:16" x14ac:dyDescent="0.25">
      <c r="A60" s="73"/>
      <c r="B60" s="73"/>
      <c r="C60" s="73"/>
      <c r="D60" s="73"/>
      <c r="E60" s="73"/>
      <c r="F60" s="117" t="s">
        <v>300</v>
      </c>
      <c r="G60" s="117" t="s">
        <v>44</v>
      </c>
      <c r="H60" s="150"/>
      <c r="I60" s="151"/>
      <c r="J60" s="193">
        <f>SUMPRODUCT($H23:$H$25, J42:J$44)</f>
        <v>0.71212960403994585</v>
      </c>
      <c r="K60" s="193">
        <f>SUMPRODUCT($H23:$H$25, K42:K$44)</f>
        <v>0.32777725295876975</v>
      </c>
      <c r="L60" s="193">
        <f>SUMPRODUCT($H23:$H$25, L42:L$44)</f>
        <v>0.23495336065205721</v>
      </c>
      <c r="M60" s="193">
        <f>SUMPRODUCT($H23:$H$25, M42:M$44)</f>
        <v>0</v>
      </c>
      <c r="N60" s="74"/>
      <c r="O60" s="73"/>
      <c r="P60" s="42"/>
    </row>
    <row r="61" spans="1:1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3"/>
      <c r="P61" s="42"/>
    </row>
    <row r="62" spans="1:16" x14ac:dyDescent="0.25">
      <c r="A62" s="73"/>
      <c r="B62" s="101"/>
      <c r="C62" s="110" t="s">
        <v>665</v>
      </c>
      <c r="D62" s="110"/>
      <c r="E62" s="110"/>
      <c r="F62" s="110"/>
      <c r="G62" s="110"/>
      <c r="H62" s="111"/>
      <c r="I62" s="111"/>
      <c r="J62" s="111"/>
      <c r="K62" s="111"/>
      <c r="L62" s="111"/>
      <c r="M62" s="111"/>
      <c r="N62" s="111"/>
      <c r="O62" s="110"/>
      <c r="P62" s="42"/>
    </row>
    <row r="63" spans="1:16" x14ac:dyDescent="0.25">
      <c r="A63" s="73"/>
      <c r="B63" s="73"/>
      <c r="C63" s="109"/>
      <c r="D63" s="109"/>
      <c r="E63" s="73"/>
      <c r="F63" s="73"/>
      <c r="G63" s="73"/>
      <c r="H63" s="74"/>
      <c r="I63" s="74"/>
      <c r="J63" s="74"/>
      <c r="K63" s="74"/>
      <c r="L63" s="74"/>
      <c r="M63" s="74"/>
      <c r="N63" s="74"/>
      <c r="O63" s="73"/>
      <c r="P63" s="42"/>
    </row>
    <row r="64" spans="1:16" x14ac:dyDescent="0.25">
      <c r="A64" s="73"/>
      <c r="B64" s="73"/>
      <c r="C64" s="73"/>
      <c r="D64" s="109" t="s">
        <v>522</v>
      </c>
      <c r="E64" s="73"/>
      <c r="F64" s="73"/>
      <c r="G64" s="73"/>
      <c r="H64" s="74"/>
      <c r="I64" s="74"/>
      <c r="J64" s="74"/>
      <c r="K64" s="74"/>
      <c r="L64" s="74"/>
      <c r="M64" s="74"/>
      <c r="N64" s="74"/>
      <c r="O64" s="73"/>
      <c r="P64" s="42"/>
    </row>
    <row r="65" spans="1:16" x14ac:dyDescent="0.25">
      <c r="A65" s="73"/>
      <c r="B65" s="73"/>
      <c r="C65" s="73"/>
      <c r="D65" s="109" t="s">
        <v>523</v>
      </c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3"/>
      <c r="P65" s="42"/>
    </row>
    <row r="66" spans="1:16" x14ac:dyDescent="0.25">
      <c r="A66" s="73"/>
      <c r="B66" s="73"/>
      <c r="C66" s="73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3"/>
      <c r="P66" s="42"/>
    </row>
    <row r="67" spans="1:16" x14ac:dyDescent="0.25">
      <c r="A67" s="73"/>
      <c r="B67" s="73"/>
      <c r="C67" s="73"/>
      <c r="D67" s="73"/>
      <c r="E67" s="115" t="str">
        <f>'Fixed inputs'!E34</f>
        <v>Network length split for 132kV</v>
      </c>
      <c r="F67" s="73"/>
      <c r="G67" s="115" t="str">
        <f>'Fixed inputs'!G34</f>
        <v>%</v>
      </c>
      <c r="H67" s="166">
        <f>'Fixed inputs'!H34</f>
        <v>1</v>
      </c>
      <c r="I67" s="135"/>
      <c r="J67" s="135"/>
      <c r="K67" s="135"/>
      <c r="L67" s="135"/>
      <c r="M67" s="135"/>
      <c r="N67" s="74"/>
      <c r="O67" s="73"/>
      <c r="P67" s="42"/>
    </row>
    <row r="68" spans="1:16" x14ac:dyDescent="0.25">
      <c r="A68" s="73"/>
      <c r="B68" s="73"/>
      <c r="C68" s="73"/>
      <c r="D68" s="73"/>
      <c r="E68" s="115" t="str">
        <f>'Fixed inputs'!E35</f>
        <v>Network length split for EHV</v>
      </c>
      <c r="F68" s="73"/>
      <c r="G68" s="115" t="str">
        <f>'Fixed inputs'!G35</f>
        <v>%</v>
      </c>
      <c r="H68" s="166">
        <f>'Fixed inputs'!H35</f>
        <v>1</v>
      </c>
      <c r="I68" s="135"/>
      <c r="J68" s="135"/>
      <c r="K68" s="135"/>
      <c r="L68" s="135"/>
      <c r="M68" s="135"/>
      <c r="N68" s="74"/>
      <c r="O68" s="73"/>
      <c r="P68" s="42"/>
    </row>
    <row r="69" spans="1:16" x14ac:dyDescent="0.25">
      <c r="A69" s="73"/>
      <c r="B69" s="73"/>
      <c r="C69" s="73"/>
      <c r="D69" s="73"/>
      <c r="E69" s="109"/>
      <c r="F69" s="73"/>
      <c r="G69" s="73"/>
      <c r="H69" s="74"/>
      <c r="I69" s="74"/>
      <c r="J69" s="74"/>
      <c r="K69" s="74"/>
      <c r="L69" s="74"/>
      <c r="M69" s="74"/>
      <c r="N69" s="74"/>
      <c r="O69" s="73"/>
      <c r="P69" s="42"/>
    </row>
    <row r="70" spans="1:16" x14ac:dyDescent="0.25">
      <c r="A70" s="73"/>
      <c r="B70" s="73"/>
      <c r="C70" s="73"/>
      <c r="D70" s="73"/>
      <c r="E70" s="115" t="str">
        <f>Direct!F$56</f>
        <v>EHV and 132kV direct proportion</v>
      </c>
      <c r="F70" s="73"/>
      <c r="G70" s="115" t="str">
        <f>Direct!G$56</f>
        <v>%</v>
      </c>
      <c r="H70" s="166">
        <f>Direct!H$56</f>
        <v>0.74946153727673326</v>
      </c>
      <c r="I70" s="135"/>
      <c r="J70" s="135"/>
      <c r="K70" s="135"/>
      <c r="L70" s="135"/>
      <c r="M70" s="135"/>
      <c r="N70" s="74"/>
      <c r="O70" s="73"/>
      <c r="P70" s="42"/>
    </row>
    <row r="71" spans="1:16" x14ac:dyDescent="0.25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3"/>
      <c r="P71" s="42"/>
    </row>
    <row r="72" spans="1:16" x14ac:dyDescent="0.25">
      <c r="A72" s="73"/>
      <c r="B72" s="73"/>
      <c r="C72" s="73"/>
      <c r="D72" s="73"/>
      <c r="E72" s="112" t="s">
        <v>521</v>
      </c>
      <c r="F72" s="73"/>
      <c r="G72" s="73"/>
      <c r="H72" s="74"/>
      <c r="I72" s="74"/>
      <c r="J72" s="74"/>
      <c r="K72" s="74"/>
      <c r="L72" s="74"/>
      <c r="M72" s="74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3" t="s">
        <v>296</v>
      </c>
      <c r="G73" s="113" t="s">
        <v>44</v>
      </c>
      <c r="H73" s="181"/>
      <c r="I73" s="135"/>
      <c r="J73" s="135"/>
      <c r="K73" s="135"/>
      <c r="L73" s="135"/>
      <c r="M73" s="135"/>
      <c r="N73" s="74"/>
      <c r="O73" s="73"/>
      <c r="P73" s="42"/>
    </row>
    <row r="74" spans="1:16" x14ac:dyDescent="0.25">
      <c r="A74" s="115"/>
      <c r="B74" s="73"/>
      <c r="C74" s="73"/>
      <c r="D74" s="73"/>
      <c r="E74" s="73"/>
      <c r="F74" s="115" t="s">
        <v>297</v>
      </c>
      <c r="G74" s="115" t="s">
        <v>44</v>
      </c>
      <c r="H74" s="135">
        <f>H19 * (1 - H67 * H70)</f>
        <v>2.335256576497146E-2</v>
      </c>
      <c r="I74" s="131" t="s">
        <v>314</v>
      </c>
      <c r="J74" s="135"/>
      <c r="K74" s="135"/>
      <c r="L74" s="135"/>
      <c r="M74" s="135"/>
      <c r="N74" s="74"/>
      <c r="O74" s="115" t="s">
        <v>567</v>
      </c>
      <c r="P74" s="42"/>
    </row>
    <row r="75" spans="1:16" x14ac:dyDescent="0.25">
      <c r="A75" s="73"/>
      <c r="B75" s="73"/>
      <c r="C75" s="73"/>
      <c r="D75" s="73"/>
      <c r="E75" s="73"/>
      <c r="F75" s="115" t="s">
        <v>298</v>
      </c>
      <c r="G75" s="115" t="s">
        <v>44</v>
      </c>
      <c r="H75" s="182"/>
      <c r="I75" s="135"/>
      <c r="J75" s="135"/>
      <c r="K75" s="135"/>
      <c r="L75" s="135"/>
      <c r="M75" s="135"/>
      <c r="N75" s="74"/>
      <c r="O75" s="73"/>
      <c r="P75" s="42"/>
    </row>
    <row r="76" spans="1:16" x14ac:dyDescent="0.25">
      <c r="A76" s="115"/>
      <c r="B76" s="73"/>
      <c r="C76" s="73"/>
      <c r="D76" s="73"/>
      <c r="E76" s="73"/>
      <c r="F76" s="115" t="s">
        <v>299</v>
      </c>
      <c r="G76" s="115" t="s">
        <v>44</v>
      </c>
      <c r="H76" s="135">
        <f>H21 * (1 - H68* H70)</f>
        <v>1.7733097435390841E-2</v>
      </c>
      <c r="I76" s="131" t="s">
        <v>314</v>
      </c>
      <c r="J76" s="135"/>
      <c r="K76" s="135"/>
      <c r="L76" s="135"/>
      <c r="M76" s="135"/>
      <c r="N76" s="74"/>
      <c r="O76" s="115" t="s">
        <v>567</v>
      </c>
      <c r="P76" s="42"/>
    </row>
    <row r="77" spans="1:16" x14ac:dyDescent="0.25">
      <c r="A77" s="73"/>
      <c r="B77" s="73"/>
      <c r="C77" s="73"/>
      <c r="D77" s="73"/>
      <c r="E77" s="73"/>
      <c r="F77" s="117" t="s">
        <v>300</v>
      </c>
      <c r="G77" s="117" t="s">
        <v>44</v>
      </c>
      <c r="H77" s="206"/>
      <c r="I77" s="135"/>
      <c r="J77" s="135"/>
      <c r="K77" s="135"/>
      <c r="L77" s="135"/>
      <c r="M77" s="135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73"/>
      <c r="G78" s="73"/>
      <c r="H78" s="74"/>
      <c r="I78" s="74"/>
      <c r="J78" s="74"/>
      <c r="K78" s="74"/>
      <c r="L78" s="74"/>
      <c r="M78" s="74"/>
      <c r="N78" s="74"/>
      <c r="O78" s="73"/>
      <c r="P78" s="42"/>
    </row>
    <row r="79" spans="1:16" x14ac:dyDescent="0.25">
      <c r="A79" s="73"/>
      <c r="B79" s="101"/>
      <c r="C79" s="110" t="s">
        <v>666</v>
      </c>
      <c r="D79" s="110"/>
      <c r="E79" s="110"/>
      <c r="F79" s="110"/>
      <c r="G79" s="110"/>
      <c r="H79" s="111"/>
      <c r="I79" s="111"/>
      <c r="J79" s="111"/>
      <c r="K79" s="111"/>
      <c r="L79" s="111"/>
      <c r="M79" s="111"/>
      <c r="N79" s="111"/>
      <c r="O79" s="110"/>
      <c r="P79" s="42"/>
    </row>
    <row r="80" spans="1:16" x14ac:dyDescent="0.25">
      <c r="A80" s="73"/>
      <c r="B80" s="73"/>
      <c r="C80" s="109"/>
      <c r="D80" s="109"/>
      <c r="E80" s="73"/>
      <c r="F80" s="73"/>
      <c r="G80" s="73"/>
      <c r="H80" s="74"/>
      <c r="I80" s="74"/>
      <c r="J80" s="74"/>
      <c r="K80" s="74"/>
      <c r="L80" s="74"/>
      <c r="M80" s="74"/>
      <c r="N80" s="74"/>
      <c r="O80" s="73"/>
      <c r="P80" s="42"/>
    </row>
    <row r="81" spans="1:16" x14ac:dyDescent="0.25">
      <c r="A81" s="73"/>
      <c r="B81" s="73"/>
      <c r="C81" s="73"/>
      <c r="D81" s="109" t="s">
        <v>340</v>
      </c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3"/>
      <c r="P81" s="42"/>
    </row>
    <row r="82" spans="1:16" x14ac:dyDescent="0.25">
      <c r="A82" s="73"/>
      <c r="B82" s="73"/>
      <c r="C82" s="73"/>
      <c r="D82" s="109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3"/>
      <c r="P82" s="42"/>
    </row>
    <row r="83" spans="1:16" x14ac:dyDescent="0.25">
      <c r="A83" s="73"/>
      <c r="B83" s="73"/>
      <c r="C83" s="73"/>
      <c r="D83" s="73"/>
      <c r="E83" s="115" t="s">
        <v>413</v>
      </c>
      <c r="F83" s="73"/>
      <c r="G83" s="115" t="str">
        <f>'Rev allocation'!G149</f>
        <v>%</v>
      </c>
      <c r="H83" s="166">
        <f>'Rev allocation'!H158</f>
        <v>4.8710249555515964E-2</v>
      </c>
      <c r="I83" s="135"/>
      <c r="J83" s="135"/>
      <c r="K83" s="135"/>
      <c r="L83" s="135"/>
      <c r="M83" s="135"/>
      <c r="N83" s="74"/>
      <c r="O83" s="73"/>
      <c r="P83" s="42"/>
    </row>
    <row r="84" spans="1:16" x14ac:dyDescent="0.25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3"/>
      <c r="P84" s="42"/>
    </row>
    <row r="85" spans="1:16" x14ac:dyDescent="0.25">
      <c r="A85" s="73"/>
      <c r="B85" s="73"/>
      <c r="C85" s="73"/>
      <c r="D85" s="73"/>
      <c r="E85" s="115" t="s">
        <v>534</v>
      </c>
      <c r="F85" s="73"/>
      <c r="G85" s="115" t="s">
        <v>231</v>
      </c>
      <c r="H85" s="170">
        <f>IF(SUM(H19:H25, H83) = 1, 0, 1)</f>
        <v>0</v>
      </c>
      <c r="I85" s="136"/>
      <c r="J85" s="136"/>
      <c r="K85" s="136"/>
      <c r="L85" s="136"/>
      <c r="M85" s="136"/>
      <c r="N85" s="74"/>
      <c r="O85" s="73"/>
      <c r="P85" s="42"/>
    </row>
    <row r="86" spans="1:16" x14ac:dyDescent="0.25">
      <c r="A86" s="73"/>
      <c r="B86" s="73"/>
      <c r="C86" s="73"/>
      <c r="D86" s="73"/>
      <c r="E86" s="109"/>
      <c r="F86" s="73"/>
      <c r="G86" s="73"/>
      <c r="H86" s="74"/>
      <c r="I86" s="74"/>
      <c r="J86" s="74"/>
      <c r="K86" s="74"/>
      <c r="L86" s="74"/>
      <c r="M86" s="74"/>
      <c r="N86" s="74"/>
      <c r="O86" s="73"/>
      <c r="P86" s="42"/>
    </row>
    <row r="87" spans="1:16" x14ac:dyDescent="0.25">
      <c r="A87" s="73"/>
      <c r="B87" s="107" t="s">
        <v>295</v>
      </c>
      <c r="C87" s="107"/>
      <c r="D87" s="107"/>
      <c r="E87" s="107"/>
      <c r="F87" s="107"/>
      <c r="G87" s="107"/>
      <c r="H87" s="108"/>
      <c r="I87" s="108"/>
      <c r="J87" s="108"/>
      <c r="K87" s="108"/>
      <c r="L87" s="108"/>
      <c r="M87" s="108"/>
      <c r="N87" s="108"/>
      <c r="O87" s="107"/>
      <c r="P87" s="42"/>
    </row>
    <row r="88" spans="1:16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</row>
    <row r="89" spans="1:16" x14ac:dyDescent="0.25">
      <c r="A89" s="73"/>
      <c r="B89" s="73"/>
      <c r="C89" s="109" t="s">
        <v>341</v>
      </c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3"/>
      <c r="P89" s="42"/>
    </row>
    <row r="90" spans="1:16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</row>
    <row r="91" spans="1:16" x14ac:dyDescent="0.25">
      <c r="A91" s="73"/>
      <c r="B91" s="101"/>
      <c r="C91" s="110" t="s">
        <v>667</v>
      </c>
      <c r="D91" s="110"/>
      <c r="E91" s="110"/>
      <c r="F91" s="110"/>
      <c r="G91" s="110"/>
      <c r="H91" s="111"/>
      <c r="I91" s="111"/>
      <c r="J91" s="111"/>
      <c r="K91" s="111"/>
      <c r="L91" s="111"/>
      <c r="M91" s="111"/>
      <c r="N91" s="111"/>
      <c r="O91" s="110"/>
      <c r="P91" s="42"/>
    </row>
    <row r="92" spans="1:16" x14ac:dyDescent="0.25">
      <c r="A92" s="73"/>
      <c r="B92" s="73"/>
      <c r="C92" s="109"/>
      <c r="D92" s="109"/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</row>
    <row r="93" spans="1:16" x14ac:dyDescent="0.25">
      <c r="A93" s="115"/>
      <c r="B93" s="73"/>
      <c r="C93" s="73"/>
      <c r="D93" s="109"/>
      <c r="E93" s="112" t="s">
        <v>324</v>
      </c>
      <c r="F93" s="73"/>
      <c r="G93" s="73"/>
      <c r="H93" s="74"/>
      <c r="I93" s="132" t="s">
        <v>314</v>
      </c>
      <c r="J93" s="74"/>
      <c r="K93" s="74"/>
      <c r="L93" s="74"/>
      <c r="M93" s="74"/>
      <c r="N93" s="74"/>
      <c r="O93" s="115" t="s">
        <v>567</v>
      </c>
      <c r="P93" s="42"/>
    </row>
    <row r="94" spans="1:16" x14ac:dyDescent="0.25">
      <c r="A94" s="73"/>
      <c r="B94" s="73"/>
      <c r="C94" s="73"/>
      <c r="D94" s="73"/>
      <c r="E94" s="73"/>
      <c r="F94" s="113" t="s">
        <v>326</v>
      </c>
      <c r="G94" s="113" t="s">
        <v>44</v>
      </c>
      <c r="H94" s="149"/>
      <c r="I94" s="149"/>
      <c r="J94" s="180">
        <f t="shared" ref="J94:M98" si="0">IF(J$47, (J56 + $H73) / (J$46 + $H$83), 0)</f>
        <v>0.95128975044448394</v>
      </c>
      <c r="K94" s="180">
        <f t="shared" si="0"/>
        <v>0.9208796628378928</v>
      </c>
      <c r="L94" s="180">
        <f t="shared" si="0"/>
        <v>0.9068323714454799</v>
      </c>
      <c r="M94" s="180">
        <f t="shared" si="0"/>
        <v>0.83079104263894099</v>
      </c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327</v>
      </c>
      <c r="G95" s="115" t="s">
        <v>44</v>
      </c>
      <c r="H95" s="135"/>
      <c r="I95" s="135"/>
      <c r="J95" s="177">
        <f t="shared" si="0"/>
        <v>0.88143281252232841</v>
      </c>
      <c r="K95" s="177">
        <f t="shared" si="0"/>
        <v>0.80741063872184926</v>
      </c>
      <c r="L95" s="177">
        <f t="shared" si="0"/>
        <v>0.7732176742579856</v>
      </c>
      <c r="M95" s="177">
        <f t="shared" si="0"/>
        <v>0.5881230263978785</v>
      </c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328</v>
      </c>
      <c r="G96" s="115" t="s">
        <v>44</v>
      </c>
      <c r="H96" s="135"/>
      <c r="I96" s="135"/>
      <c r="J96" s="177">
        <f t="shared" si="0"/>
        <v>0.82924223056230328</v>
      </c>
      <c r="K96" s="177">
        <f t="shared" si="0"/>
        <v>0.72263717771427427</v>
      </c>
      <c r="L96" s="177">
        <f t="shared" si="0"/>
        <v>0.67339324719250715</v>
      </c>
      <c r="M96" s="177">
        <f t="shared" si="0"/>
        <v>0.40682414088390129</v>
      </c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329</v>
      </c>
      <c r="G97" s="115" t="s">
        <v>44</v>
      </c>
      <c r="H97" s="135"/>
      <c r="I97" s="135"/>
      <c r="J97" s="177">
        <f t="shared" si="0"/>
        <v>0.77619538769376561</v>
      </c>
      <c r="K97" s="177">
        <f t="shared" si="0"/>
        <v>0.63647288721191242</v>
      </c>
      <c r="L97" s="177">
        <f t="shared" si="0"/>
        <v>0.57193105807493483</v>
      </c>
      <c r="M97" s="177">
        <f t="shared" si="0"/>
        <v>0.22255078866362427</v>
      </c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7" t="s">
        <v>330</v>
      </c>
      <c r="G98" s="117" t="s">
        <v>44</v>
      </c>
      <c r="H98" s="150"/>
      <c r="I98" s="151"/>
      <c r="J98" s="193">
        <f t="shared" si="0"/>
        <v>0.71212960403994574</v>
      </c>
      <c r="K98" s="193">
        <f t="shared" si="0"/>
        <v>0.53241046812149639</v>
      </c>
      <c r="L98" s="193">
        <f t="shared" si="0"/>
        <v>0.44939304628112303</v>
      </c>
      <c r="M98" s="193">
        <f t="shared" si="0"/>
        <v>0</v>
      </c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3"/>
      <c r="P99" s="42"/>
    </row>
    <row r="100" spans="1:16" x14ac:dyDescent="0.25">
      <c r="A100" s="73"/>
      <c r="B100" s="101"/>
      <c r="C100" s="110" t="s">
        <v>668</v>
      </c>
      <c r="D100" s="110"/>
      <c r="E100" s="110"/>
      <c r="F100" s="110"/>
      <c r="G100" s="110"/>
      <c r="H100" s="111"/>
      <c r="I100" s="111"/>
      <c r="J100" s="111"/>
      <c r="K100" s="111"/>
      <c r="L100" s="111"/>
      <c r="M100" s="111"/>
      <c r="N100" s="111"/>
      <c r="O100" s="110"/>
      <c r="P100" s="42"/>
    </row>
    <row r="101" spans="1:16" x14ac:dyDescent="0.25">
      <c r="A101" s="73"/>
      <c r="B101" s="73"/>
      <c r="C101" s="109"/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3"/>
      <c r="P101" s="42"/>
    </row>
    <row r="102" spans="1:16" x14ac:dyDescent="0.25">
      <c r="A102" s="73"/>
      <c r="B102" s="73"/>
      <c r="C102" s="73"/>
      <c r="D102" s="109"/>
      <c r="E102" s="115" t="str">
        <f>'Fixed inputs'!E$27</f>
        <v>EDCM discount cap</v>
      </c>
      <c r="F102" s="73"/>
      <c r="G102" s="115" t="str">
        <f>'Fixed inputs'!G$27</f>
        <v>%</v>
      </c>
      <c r="H102" s="166">
        <f>'Fixed inputs'!H$27</f>
        <v>1</v>
      </c>
      <c r="I102" s="135"/>
      <c r="J102" s="135"/>
      <c r="K102" s="135"/>
      <c r="L102" s="135"/>
      <c r="M102" s="135"/>
      <c r="N102" s="74"/>
      <c r="O102" s="73"/>
      <c r="P102" s="42"/>
    </row>
    <row r="103" spans="1:16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3"/>
      <c r="P103" s="42"/>
    </row>
    <row r="104" spans="1:16" x14ac:dyDescent="0.25">
      <c r="A104" s="115"/>
      <c r="B104" s="73"/>
      <c r="C104" s="73"/>
      <c r="D104" s="73"/>
      <c r="E104" s="112" t="s">
        <v>325</v>
      </c>
      <c r="F104" s="73"/>
      <c r="G104" s="73"/>
      <c r="H104" s="74"/>
      <c r="I104" s="132" t="s">
        <v>314</v>
      </c>
      <c r="J104" s="74"/>
      <c r="K104" s="74"/>
      <c r="L104" s="74"/>
      <c r="M104" s="74"/>
      <c r="N104" s="74"/>
      <c r="O104" s="115" t="s">
        <v>567</v>
      </c>
      <c r="P104" s="42"/>
    </row>
    <row r="105" spans="1:16" x14ac:dyDescent="0.25">
      <c r="A105" s="73"/>
      <c r="B105" s="73"/>
      <c r="C105" s="73"/>
      <c r="D105" s="73"/>
      <c r="E105" s="73"/>
      <c r="F105" s="113" t="s">
        <v>326</v>
      </c>
      <c r="G105" s="113" t="s">
        <v>44</v>
      </c>
      <c r="H105" s="149"/>
      <c r="I105" s="149"/>
      <c r="J105" s="153">
        <f t="shared" ref="J105:M109" si="1">MIN($H$102, J94)</f>
        <v>0.95128975044448394</v>
      </c>
      <c r="K105" s="153">
        <f t="shared" si="1"/>
        <v>0.9208796628378928</v>
      </c>
      <c r="L105" s="153">
        <f t="shared" si="1"/>
        <v>0.9068323714454799</v>
      </c>
      <c r="M105" s="153">
        <f t="shared" si="1"/>
        <v>0.83079104263894099</v>
      </c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327</v>
      </c>
      <c r="G106" s="115" t="s">
        <v>44</v>
      </c>
      <c r="H106" s="135"/>
      <c r="I106" s="135"/>
      <c r="J106" s="154">
        <f t="shared" si="1"/>
        <v>0.88143281252232841</v>
      </c>
      <c r="K106" s="154">
        <f t="shared" si="1"/>
        <v>0.80741063872184926</v>
      </c>
      <c r="L106" s="154">
        <f t="shared" si="1"/>
        <v>0.7732176742579856</v>
      </c>
      <c r="M106" s="154">
        <f t="shared" si="1"/>
        <v>0.5881230263978785</v>
      </c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328</v>
      </c>
      <c r="G107" s="115" t="s">
        <v>44</v>
      </c>
      <c r="H107" s="135"/>
      <c r="I107" s="135"/>
      <c r="J107" s="154">
        <f t="shared" si="1"/>
        <v>0.82924223056230328</v>
      </c>
      <c r="K107" s="154">
        <f t="shared" si="1"/>
        <v>0.72263717771427427</v>
      </c>
      <c r="L107" s="154">
        <f t="shared" si="1"/>
        <v>0.67339324719250715</v>
      </c>
      <c r="M107" s="154">
        <f t="shared" si="1"/>
        <v>0.40682414088390129</v>
      </c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329</v>
      </c>
      <c r="G108" s="115" t="s">
        <v>44</v>
      </c>
      <c r="H108" s="135"/>
      <c r="I108" s="135"/>
      <c r="J108" s="154">
        <f t="shared" si="1"/>
        <v>0.77619538769376561</v>
      </c>
      <c r="K108" s="154">
        <f t="shared" si="1"/>
        <v>0.63647288721191242</v>
      </c>
      <c r="L108" s="154">
        <f t="shared" si="1"/>
        <v>0.57193105807493483</v>
      </c>
      <c r="M108" s="154">
        <f t="shared" si="1"/>
        <v>0.22255078866362427</v>
      </c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7" t="s">
        <v>330</v>
      </c>
      <c r="G109" s="117" t="s">
        <v>44</v>
      </c>
      <c r="H109" s="150"/>
      <c r="I109" s="151"/>
      <c r="J109" s="192">
        <f t="shared" si="1"/>
        <v>0.71212960403994574</v>
      </c>
      <c r="K109" s="192">
        <f t="shared" si="1"/>
        <v>0.53241046812149639</v>
      </c>
      <c r="L109" s="192">
        <f t="shared" si="1"/>
        <v>0.44939304628112303</v>
      </c>
      <c r="M109" s="192">
        <f t="shared" si="1"/>
        <v>0</v>
      </c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3"/>
      <c r="P110" s="42"/>
    </row>
    <row r="111" spans="1:16" x14ac:dyDescent="0.25">
      <c r="A111" s="73"/>
      <c r="B111" s="107" t="s">
        <v>242</v>
      </c>
      <c r="C111" s="107"/>
      <c r="D111" s="107"/>
      <c r="E111" s="107"/>
      <c r="F111" s="107"/>
      <c r="G111" s="107"/>
      <c r="H111" s="108"/>
      <c r="I111" s="108"/>
      <c r="J111" s="108"/>
      <c r="K111" s="108"/>
      <c r="L111" s="108"/>
      <c r="M111" s="108"/>
      <c r="N111" s="108"/>
      <c r="O111" s="107"/>
      <c r="P111" s="42"/>
    </row>
    <row r="112" spans="1:16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3"/>
      <c r="P112" s="42"/>
    </row>
    <row r="113" spans="1:16" x14ac:dyDescent="0.25">
      <c r="A113" s="73"/>
      <c r="B113" s="73"/>
      <c r="C113" s="109"/>
      <c r="D113" s="109"/>
      <c r="E113" s="115" t="s">
        <v>262</v>
      </c>
      <c r="F113" s="73"/>
      <c r="G113" s="115" t="s">
        <v>231</v>
      </c>
      <c r="H113" s="159">
        <f>H48 + H85</f>
        <v>0</v>
      </c>
      <c r="I113" s="136"/>
      <c r="J113" s="136"/>
      <c r="K113" s="136"/>
      <c r="L113" s="136"/>
      <c r="M113" s="136"/>
      <c r="N113" s="74"/>
      <c r="O113" s="73"/>
      <c r="P113" s="42"/>
    </row>
    <row r="114" spans="1:16" x14ac:dyDescent="0.25">
      <c r="A114" s="73"/>
      <c r="B114" s="73"/>
      <c r="C114" s="73"/>
      <c r="D114" s="73"/>
      <c r="E114" s="109"/>
      <c r="F114" s="73"/>
      <c r="G114" s="73"/>
      <c r="H114" s="74"/>
      <c r="I114" s="74"/>
      <c r="J114" s="74"/>
      <c r="K114" s="74"/>
      <c r="L114" s="74"/>
      <c r="M114" s="74"/>
      <c r="N114" s="74"/>
      <c r="O114" s="73"/>
      <c r="P114" s="42"/>
    </row>
    <row r="115" spans="1:16" x14ac:dyDescent="0.25">
      <c r="A115" s="73"/>
      <c r="B115" s="107" t="s">
        <v>30</v>
      </c>
      <c r="C115" s="107"/>
      <c r="D115" s="107"/>
      <c r="E115" s="107"/>
      <c r="F115" s="107"/>
      <c r="G115" s="107"/>
      <c r="H115" s="108"/>
      <c r="I115" s="108"/>
      <c r="J115" s="108"/>
      <c r="K115" s="108"/>
      <c r="L115" s="108"/>
      <c r="M115" s="108"/>
      <c r="N115" s="108"/>
      <c r="O115" s="107"/>
      <c r="P115" s="42"/>
    </row>
  </sheetData>
  <sheetProtection sheet="1" objects="1" formatCells="0" formatColumns="0" formatRows="0" sort="0" autoFilter="0"/>
  <conditionalFormatting sqref="H48">
    <cfRule type="cellIs" dxfId="6" priority="4" stopIfTrue="1" operator="greaterThan">
      <formula>0</formula>
    </cfRule>
  </conditionalFormatting>
  <conditionalFormatting sqref="H85">
    <cfRule type="cellIs" dxfId="5" priority="5" stopIfTrue="1" operator="greaterThan">
      <formula>0</formula>
    </cfRule>
  </conditionalFormatting>
  <conditionalFormatting sqref="H113">
    <cfRule type="cellIs" dxfId="4" priority="6" stopIfTrue="1" operator="greaterThan">
      <formula>0</formula>
    </cfRule>
  </conditionalFormatting>
  <conditionalFormatting sqref="A4:XFD4">
    <cfRule type="expression" dxfId="3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8" scale="40" orientation="portrait" r:id="rId1"/>
  <ignoredErrors>
    <ignoredError sqref="J57:M57 J60:M60 K58:M58 K59:M5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59999389629810485"/>
    <pageSetUpPr fitToPage="1"/>
  </sheetPr>
  <dimension ref="A1:K4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CDCM discounts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s="1" customFormat="1" x14ac:dyDescent="0.25">
      <c r="A4" s="72" t="str">
        <f>H43 &amp; IF(H43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737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301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686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207"/>
      <c r="E14" s="101"/>
      <c r="F14" s="101"/>
      <c r="G14" s="73"/>
      <c r="H14" s="74"/>
      <c r="I14" s="74"/>
      <c r="J14" s="73"/>
      <c r="K14" s="42"/>
    </row>
    <row r="15" spans="1:11" s="1" customFormat="1" x14ac:dyDescent="0.25">
      <c r="A15" s="73"/>
      <c r="B15" s="73"/>
      <c r="C15" s="110" t="s">
        <v>722</v>
      </c>
      <c r="D15" s="110"/>
      <c r="E15" s="110"/>
      <c r="F15" s="110"/>
      <c r="G15" s="110"/>
      <c r="H15" s="110"/>
      <c r="I15" s="110"/>
      <c r="J15" s="110"/>
      <c r="K15" s="42"/>
    </row>
    <row r="16" spans="1:11" s="1" customFormat="1" x14ac:dyDescent="0.25">
      <c r="A16" s="73"/>
      <c r="B16" s="73"/>
      <c r="C16" s="109"/>
      <c r="D16" s="207"/>
      <c r="E16" s="101"/>
      <c r="F16" s="101"/>
      <c r="G16" s="73"/>
      <c r="H16" s="74"/>
      <c r="I16" s="74"/>
      <c r="J16" s="73"/>
      <c r="K16" s="42"/>
    </row>
    <row r="17" spans="1:11" x14ac:dyDescent="0.25">
      <c r="A17" s="73"/>
      <c r="B17" s="73"/>
      <c r="C17" s="73"/>
      <c r="D17" s="101"/>
      <c r="E17" s="119" t="s">
        <v>350</v>
      </c>
      <c r="F17" s="101"/>
      <c r="G17" s="73"/>
      <c r="H17" s="74"/>
      <c r="I17" s="74"/>
      <c r="J17" s="73"/>
      <c r="K17" s="42"/>
    </row>
    <row r="18" spans="1:11" x14ac:dyDescent="0.25">
      <c r="A18" s="73"/>
      <c r="B18" s="73"/>
      <c r="C18" s="73"/>
      <c r="D18" s="101"/>
      <c r="E18" s="101"/>
      <c r="F18" s="210" t="str">
        <f>'Rev allocation'!J5</f>
        <v>LV services</v>
      </c>
      <c r="G18" s="113" t="str">
        <f>'Rev allocation'!G146</f>
        <v>%</v>
      </c>
      <c r="H18" s="172">
        <f>'Rev allocation'!J146</f>
        <v>0.12799783772328605</v>
      </c>
      <c r="I18" s="74"/>
      <c r="J18" s="73"/>
      <c r="K18" s="42"/>
    </row>
    <row r="19" spans="1:11" x14ac:dyDescent="0.25">
      <c r="A19" s="73"/>
      <c r="B19" s="73"/>
      <c r="C19" s="73"/>
      <c r="D19" s="101"/>
      <c r="E19" s="101"/>
      <c r="F19" s="120" t="str">
        <f>'Rev allocation'!K5</f>
        <v>LV mains</v>
      </c>
      <c r="G19" s="115" t="s">
        <v>44</v>
      </c>
      <c r="H19" s="166">
        <f>'Rev allocation'!K146</f>
        <v>0.26435057652343336</v>
      </c>
      <c r="I19" s="74"/>
      <c r="J19" s="73"/>
      <c r="K19" s="42"/>
    </row>
    <row r="20" spans="1:11" x14ac:dyDescent="0.25">
      <c r="A20" s="73"/>
      <c r="B20" s="73"/>
      <c r="C20" s="73"/>
      <c r="D20" s="101"/>
      <c r="E20" s="101"/>
      <c r="F20" s="120" t="str">
        <f>'Rev allocation'!L5</f>
        <v>HV/LV</v>
      </c>
      <c r="G20" s="115" t="s">
        <v>44</v>
      </c>
      <c r="H20" s="166">
        <f>'Rev allocation'!L146</f>
        <v>9.4917695308648672E-2</v>
      </c>
      <c r="I20" s="74"/>
      <c r="J20" s="73"/>
      <c r="K20" s="42"/>
    </row>
    <row r="21" spans="1:11" x14ac:dyDescent="0.25">
      <c r="A21" s="73"/>
      <c r="B21" s="73"/>
      <c r="C21" s="73"/>
      <c r="D21" s="101"/>
      <c r="E21" s="101"/>
      <c r="F21" s="117" t="str">
        <f>'Rev allocation'!M5</f>
        <v>HV</v>
      </c>
      <c r="G21" s="117" t="s">
        <v>44</v>
      </c>
      <c r="H21" s="173">
        <f>'Rev allocation'!M146</f>
        <v>0.24104125501627574</v>
      </c>
      <c r="I21" s="74"/>
      <c r="J21" s="73"/>
      <c r="K21" s="42"/>
    </row>
    <row r="22" spans="1:11" x14ac:dyDescent="0.25">
      <c r="A22" s="73"/>
      <c r="B22" s="73"/>
      <c r="C22" s="73"/>
      <c r="D22" s="101"/>
      <c r="E22" s="101"/>
      <c r="F22" s="101"/>
      <c r="G22" s="73"/>
      <c r="H22" s="74"/>
      <c r="I22" s="74"/>
      <c r="J22" s="73"/>
      <c r="K22" s="42"/>
    </row>
    <row r="23" spans="1:11" x14ac:dyDescent="0.25">
      <c r="A23" s="73"/>
      <c r="B23" s="73"/>
      <c r="C23" s="73"/>
      <c r="D23" s="101"/>
      <c r="E23" s="120" t="s">
        <v>493</v>
      </c>
      <c r="F23" s="101"/>
      <c r="G23" s="115" t="s">
        <v>231</v>
      </c>
      <c r="H23" s="136">
        <f>IF(SUM(H18:H21) = 0, 1, 0)</f>
        <v>0</v>
      </c>
      <c r="I23" s="74"/>
      <c r="J23" s="73"/>
      <c r="K23" s="42"/>
    </row>
    <row r="24" spans="1:11" x14ac:dyDescent="0.25">
      <c r="A24" s="73"/>
      <c r="B24" s="73"/>
      <c r="C24" s="73"/>
      <c r="D24" s="101"/>
      <c r="E24" s="207"/>
      <c r="F24" s="101"/>
      <c r="G24" s="73"/>
      <c r="H24" s="74"/>
      <c r="I24" s="74"/>
      <c r="J24" s="73"/>
      <c r="K24" s="42"/>
    </row>
    <row r="25" spans="1:11" s="17" customFormat="1" x14ac:dyDescent="0.25">
      <c r="A25" s="73"/>
      <c r="B25" s="73"/>
      <c r="C25" s="110" t="s">
        <v>723</v>
      </c>
      <c r="D25" s="110"/>
      <c r="E25" s="110"/>
      <c r="F25" s="110"/>
      <c r="G25" s="110"/>
      <c r="H25" s="110"/>
      <c r="I25" s="110"/>
      <c r="J25" s="110"/>
      <c r="K25" s="42"/>
    </row>
    <row r="26" spans="1:11" s="17" customFormat="1" x14ac:dyDescent="0.25">
      <c r="A26" s="73"/>
      <c r="B26" s="73"/>
      <c r="C26" s="109"/>
      <c r="D26" s="207"/>
      <c r="E26" s="101"/>
      <c r="F26" s="101"/>
      <c r="G26" s="73"/>
      <c r="H26" s="74"/>
      <c r="I26" s="74"/>
      <c r="J26" s="73"/>
      <c r="K26" s="42"/>
    </row>
    <row r="27" spans="1:11" x14ac:dyDescent="0.25">
      <c r="A27" s="73"/>
      <c r="B27" s="73"/>
      <c r="C27" s="73"/>
      <c r="D27" s="101"/>
      <c r="E27" s="120" t="str">
        <f>'DNO inputs'!E26</f>
        <v>HV split</v>
      </c>
      <c r="F27" s="101"/>
      <c r="G27" s="115" t="str">
        <f>'DNO inputs'!G26</f>
        <v>%</v>
      </c>
      <c r="H27" s="166">
        <f>'DNO inputs'!H26</f>
        <v>0.85156771303893453</v>
      </c>
      <c r="I27" s="74"/>
      <c r="J27" s="73"/>
      <c r="K27" s="42"/>
    </row>
    <row r="28" spans="1:11" x14ac:dyDescent="0.25">
      <c r="A28" s="73"/>
      <c r="B28" s="73"/>
      <c r="C28" s="73"/>
      <c r="D28" s="101"/>
      <c r="E28" s="120" t="str">
        <f>'DNO inputs'!E19</f>
        <v>LV mains split</v>
      </c>
      <c r="F28" s="101"/>
      <c r="G28" s="115" t="str">
        <f>'DNO inputs'!G19</f>
        <v>%</v>
      </c>
      <c r="H28" s="166">
        <f>'DNO inputs'!H19</f>
        <v>7.0359464365766539E-2</v>
      </c>
      <c r="I28" s="74"/>
      <c r="J28" s="73"/>
      <c r="K28" s="42"/>
    </row>
    <row r="29" spans="1:11" x14ac:dyDescent="0.25">
      <c r="A29" s="73"/>
      <c r="B29" s="73"/>
      <c r="C29" s="73"/>
      <c r="D29" s="101"/>
      <c r="E29" s="207"/>
      <c r="F29" s="101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1"/>
      <c r="E30" s="120" t="str">
        <f>Direct!F57</f>
        <v>HV direct proportion</v>
      </c>
      <c r="F30" s="101"/>
      <c r="G30" s="115" t="str">
        <f>Direct!G57</f>
        <v>%</v>
      </c>
      <c r="H30" s="166">
        <f>Direct!H57</f>
        <v>0.71809104313896954</v>
      </c>
      <c r="I30" s="74"/>
      <c r="J30" s="73"/>
      <c r="K30" s="42"/>
    </row>
    <row r="31" spans="1:11" x14ac:dyDescent="0.25">
      <c r="A31" s="73"/>
      <c r="B31" s="73"/>
      <c r="C31" s="73"/>
      <c r="D31" s="101"/>
      <c r="E31" s="120" t="str">
        <f>Direct!F58</f>
        <v>LV direct proportion</v>
      </c>
      <c r="F31" s="101"/>
      <c r="G31" s="115" t="str">
        <f>Direct!G58</f>
        <v>%</v>
      </c>
      <c r="H31" s="166">
        <f>Direct!H58</f>
        <v>0.63931976507420485</v>
      </c>
      <c r="I31" s="74"/>
      <c r="J31" s="73"/>
      <c r="K31" s="42"/>
    </row>
    <row r="32" spans="1:11" x14ac:dyDescent="0.25">
      <c r="A32" s="73"/>
      <c r="B32" s="73"/>
      <c r="C32" s="73"/>
      <c r="D32" s="101"/>
      <c r="E32" s="207"/>
      <c r="F32" s="101"/>
      <c r="G32" s="73"/>
      <c r="H32" s="74"/>
      <c r="I32" s="74"/>
      <c r="J32" s="73"/>
      <c r="K32" s="42"/>
    </row>
    <row r="33" spans="1:11" s="17" customFormat="1" x14ac:dyDescent="0.25">
      <c r="A33" s="73"/>
      <c r="B33" s="73"/>
      <c r="C33" s="110" t="s">
        <v>721</v>
      </c>
      <c r="D33" s="110"/>
      <c r="E33" s="110"/>
      <c r="F33" s="110"/>
      <c r="G33" s="110"/>
      <c r="H33" s="110"/>
      <c r="I33" s="110"/>
      <c r="J33" s="110"/>
      <c r="K33" s="42"/>
    </row>
    <row r="34" spans="1:11" s="17" customFormat="1" x14ac:dyDescent="0.25">
      <c r="A34" s="73"/>
      <c r="B34" s="73"/>
      <c r="C34" s="109"/>
      <c r="D34" s="207"/>
      <c r="E34" s="101"/>
      <c r="F34" s="101"/>
      <c r="G34" s="73"/>
      <c r="H34" s="74"/>
      <c r="I34" s="74"/>
      <c r="J34" s="73"/>
      <c r="K34" s="42"/>
    </row>
    <row r="35" spans="1:11" x14ac:dyDescent="0.25">
      <c r="A35" s="73"/>
      <c r="B35" s="73"/>
      <c r="C35" s="73"/>
      <c r="D35" s="101"/>
      <c r="E35" s="119" t="s">
        <v>319</v>
      </c>
      <c r="F35" s="101"/>
      <c r="G35" s="73"/>
      <c r="H35" s="74"/>
      <c r="I35" s="74"/>
      <c r="J35" s="73"/>
      <c r="K35" s="42"/>
    </row>
    <row r="36" spans="1:11" x14ac:dyDescent="0.25">
      <c r="A36" s="115"/>
      <c r="B36" s="73"/>
      <c r="C36" s="73"/>
      <c r="D36" s="101"/>
      <c r="E36" s="101"/>
      <c r="F36" s="113" t="s">
        <v>315</v>
      </c>
      <c r="G36" s="113" t="s">
        <v>44</v>
      </c>
      <c r="H36" s="203">
        <f>H18 + (H19 * ( 1 - H28 * H31))</f>
        <v>0.38045734474027487</v>
      </c>
      <c r="I36" s="132" t="s">
        <v>314</v>
      </c>
      <c r="J36" s="115" t="s">
        <v>589</v>
      </c>
      <c r="K36" s="42"/>
    </row>
    <row r="37" spans="1:11" x14ac:dyDescent="0.25">
      <c r="A37" s="115"/>
      <c r="B37" s="73"/>
      <c r="C37" s="73"/>
      <c r="D37" s="101"/>
      <c r="E37" s="101"/>
      <c r="F37" s="120" t="s">
        <v>316</v>
      </c>
      <c r="G37" s="115" t="s">
        <v>44</v>
      </c>
      <c r="H37" s="154">
        <f>H18 + H19 + H20 + H21 * (1 - (H27 * H30))</f>
        <v>0.58090987848568443</v>
      </c>
      <c r="I37" s="132" t="s">
        <v>314</v>
      </c>
      <c r="J37" s="115" t="s">
        <v>590</v>
      </c>
      <c r="K37" s="42"/>
    </row>
    <row r="38" spans="1:11" x14ac:dyDescent="0.25">
      <c r="A38" s="115"/>
      <c r="B38" s="73"/>
      <c r="C38" s="73"/>
      <c r="D38" s="101"/>
      <c r="E38" s="101"/>
      <c r="F38" s="120" t="s">
        <v>317</v>
      </c>
      <c r="G38" s="115" t="s">
        <v>44</v>
      </c>
      <c r="H38" s="208">
        <f>(H20 + H21 * (1 - H27 * H30)) / (1 - H19 - H18)</f>
        <v>0.31031181134039676</v>
      </c>
      <c r="I38" s="132" t="s">
        <v>314</v>
      </c>
      <c r="J38" s="115" t="s">
        <v>591</v>
      </c>
      <c r="K38" s="42"/>
    </row>
    <row r="39" spans="1:11" x14ac:dyDescent="0.25">
      <c r="A39" s="115"/>
      <c r="B39" s="73"/>
      <c r="C39" s="73"/>
      <c r="D39" s="101"/>
      <c r="E39" s="101"/>
      <c r="F39" s="117" t="s">
        <v>318</v>
      </c>
      <c r="G39" s="117" t="s">
        <v>44</v>
      </c>
      <c r="H39" s="155">
        <f>H21 * (1 - H27 * H30) / (1 - H18 - H19 - H20)</f>
        <v>0.18263619915802798</v>
      </c>
      <c r="I39" s="132" t="s">
        <v>314</v>
      </c>
      <c r="J39" s="115" t="s">
        <v>592</v>
      </c>
      <c r="K39" s="42"/>
    </row>
    <row r="40" spans="1:11" x14ac:dyDescent="0.25">
      <c r="A40" s="73"/>
      <c r="B40" s="73"/>
      <c r="C40" s="73"/>
      <c r="D40" s="101"/>
      <c r="E40" s="101"/>
      <c r="F40" s="101"/>
      <c r="G40" s="73"/>
      <c r="H40" s="74"/>
      <c r="I40" s="74"/>
      <c r="J40" s="73"/>
      <c r="K40" s="42"/>
    </row>
    <row r="41" spans="1:11" x14ac:dyDescent="0.25">
      <c r="A41" s="73"/>
      <c r="B41" s="107" t="s">
        <v>242</v>
      </c>
      <c r="C41" s="107"/>
      <c r="D41" s="107"/>
      <c r="E41" s="107"/>
      <c r="F41" s="107"/>
      <c r="G41" s="107"/>
      <c r="H41" s="108"/>
      <c r="I41" s="108"/>
      <c r="J41" s="107"/>
      <c r="K41" s="42"/>
    </row>
    <row r="42" spans="1:11" x14ac:dyDescent="0.25">
      <c r="A42" s="73"/>
      <c r="B42" s="73"/>
      <c r="C42" s="73"/>
      <c r="D42" s="73"/>
      <c r="E42" s="73"/>
      <c r="F42" s="73"/>
      <c r="G42" s="73"/>
      <c r="H42" s="74"/>
      <c r="I42" s="74"/>
      <c r="J42" s="73"/>
      <c r="K42" s="42"/>
    </row>
    <row r="43" spans="1:11" x14ac:dyDescent="0.25">
      <c r="A43" s="73"/>
      <c r="B43" s="73"/>
      <c r="C43" s="109"/>
      <c r="D43" s="109"/>
      <c r="E43" s="115" t="s">
        <v>262</v>
      </c>
      <c r="F43" s="73"/>
      <c r="G43" s="115" t="s">
        <v>231</v>
      </c>
      <c r="H43" s="159">
        <f>H23</f>
        <v>0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3"/>
      <c r="K44" s="42"/>
    </row>
    <row r="45" spans="1:11" x14ac:dyDescent="0.25">
      <c r="A45" s="73"/>
      <c r="B45" s="107" t="s">
        <v>30</v>
      </c>
      <c r="C45" s="107"/>
      <c r="D45" s="107"/>
      <c r="E45" s="107"/>
      <c r="F45" s="107"/>
      <c r="G45" s="107"/>
      <c r="H45" s="108"/>
      <c r="I45" s="108"/>
      <c r="J45" s="107"/>
      <c r="K45" s="42"/>
    </row>
  </sheetData>
  <sheetProtection sheet="1" objects="1" formatCells="0" formatColumns="0" formatRows="0" sort="0" autoFilter="0"/>
  <conditionalFormatting sqref="H23">
    <cfRule type="cellIs" dxfId="2" priority="3" stopIfTrue="1" operator="greaterThan">
      <formula>0</formula>
    </cfRule>
  </conditionalFormatting>
  <conditionalFormatting sqref="H43">
    <cfRule type="cellIs" dxfId="1" priority="4" stopIfTrue="1" operator="greaterThan">
      <formula>0</formula>
    </cfRule>
  </conditionalFormatting>
  <conditionalFormatting sqref="A4:XFD4">
    <cfRule type="expression" dxfId="0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</sheetPr>
  <dimension ref="A1:K60"/>
  <sheetViews>
    <sheetView showGridLines="0" tabSelected="1" zoomScale="80" zoomScaleNormal="80" workbookViewId="0">
      <pane xSplit="9" ySplit="5" topLeftCell="J21" activePane="bottomRight" state="frozenSplit"/>
      <selection pane="topRight" activeCell="J1" sqref="J1"/>
      <selection pane="bottomLeft" activeCell="A15" sqref="A15"/>
      <selection pane="bottomRight" activeCell="H20" sqref="H20:H23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Output to other models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x14ac:dyDescent="0.25">
      <c r="A4" s="73"/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412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675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687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3"/>
      <c r="K14" s="42"/>
    </row>
    <row r="15" spans="1:11" x14ac:dyDescent="0.25">
      <c r="A15" s="73"/>
      <c r="B15" s="101"/>
      <c r="C15" s="110" t="s">
        <v>635</v>
      </c>
      <c r="D15" s="110"/>
      <c r="E15" s="110"/>
      <c r="F15" s="110"/>
      <c r="G15" s="110"/>
      <c r="H15" s="111"/>
      <c r="I15" s="111"/>
      <c r="J15" s="110"/>
      <c r="K15" s="42"/>
    </row>
    <row r="16" spans="1:1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3"/>
      <c r="K16" s="42"/>
    </row>
    <row r="17" spans="1:11" s="1" customFormat="1" x14ac:dyDescent="0.25">
      <c r="A17" s="73"/>
      <c r="B17" s="73"/>
      <c r="C17" s="109"/>
      <c r="D17" s="109" t="s">
        <v>726</v>
      </c>
      <c r="E17" s="73"/>
      <c r="F17" s="73"/>
      <c r="G17" s="73"/>
      <c r="H17" s="74"/>
      <c r="I17" s="74"/>
      <c r="J17" s="73"/>
      <c r="K17" s="42"/>
    </row>
    <row r="18" spans="1:11" s="1" customFormat="1" x14ac:dyDescent="0.25">
      <c r="A18" s="73"/>
      <c r="B18" s="73"/>
      <c r="C18" s="109"/>
      <c r="D18" s="109"/>
      <c r="E18" s="73"/>
      <c r="F18" s="73"/>
      <c r="G18" s="73"/>
      <c r="H18" s="74"/>
      <c r="I18" s="74"/>
      <c r="J18" s="73"/>
      <c r="K18" s="42"/>
    </row>
    <row r="19" spans="1:11" x14ac:dyDescent="0.25">
      <c r="A19" s="73"/>
      <c r="B19" s="73"/>
      <c r="C19" s="73"/>
      <c r="D19" s="109"/>
      <c r="E19" s="112" t="str">
        <f>'CDCM discounts'!E35</f>
        <v>PCDM user discount for CDCM</v>
      </c>
      <c r="F19" s="73"/>
      <c r="G19" s="73"/>
      <c r="H19" s="74"/>
      <c r="I19" s="74"/>
      <c r="J19" s="73"/>
      <c r="K19" s="42"/>
    </row>
    <row r="20" spans="1:11" x14ac:dyDescent="0.25">
      <c r="A20" s="73"/>
      <c r="B20" s="73"/>
      <c r="C20" s="73"/>
      <c r="D20" s="73"/>
      <c r="E20" s="73"/>
      <c r="F20" s="113" t="str">
        <f>'CDCM discounts'!F36</f>
        <v>LDNO LV: LV user</v>
      </c>
      <c r="G20" s="113" t="str">
        <f>'CDCM discounts'!G36</f>
        <v>%</v>
      </c>
      <c r="H20" s="114">
        <f>'CDCM discounts'!H36</f>
        <v>0.38045734474027487</v>
      </c>
      <c r="I20" s="74"/>
      <c r="J20" s="73"/>
      <c r="K20" s="42"/>
    </row>
    <row r="21" spans="1:11" x14ac:dyDescent="0.25">
      <c r="A21" s="73"/>
      <c r="B21" s="73"/>
      <c r="C21" s="73"/>
      <c r="D21" s="73"/>
      <c r="E21" s="73"/>
      <c r="F21" s="115" t="str">
        <f>'CDCM discounts'!F37</f>
        <v>LDNO HV: LV user</v>
      </c>
      <c r="G21" s="115" t="str">
        <f>'CDCM discounts'!G37</f>
        <v>%</v>
      </c>
      <c r="H21" s="116">
        <f>'CDCM discounts'!H37</f>
        <v>0.58090987848568443</v>
      </c>
      <c r="I21" s="74"/>
      <c r="J21" s="73"/>
      <c r="K21" s="42"/>
    </row>
    <row r="22" spans="1:11" x14ac:dyDescent="0.25">
      <c r="A22" s="73"/>
      <c r="B22" s="73"/>
      <c r="C22" s="73"/>
      <c r="D22" s="73"/>
      <c r="E22" s="73"/>
      <c r="F22" s="115" t="str">
        <f>'CDCM discounts'!F38</f>
        <v>LDNO HV: LV Sub user</v>
      </c>
      <c r="G22" s="115" t="str">
        <f>'CDCM discounts'!G38</f>
        <v>%</v>
      </c>
      <c r="H22" s="116">
        <f>'CDCM discounts'!H38</f>
        <v>0.31031181134039676</v>
      </c>
      <c r="I22" s="74"/>
      <c r="J22" s="73"/>
      <c r="K22" s="42"/>
    </row>
    <row r="23" spans="1:11" x14ac:dyDescent="0.25">
      <c r="A23" s="73"/>
      <c r="B23" s="73"/>
      <c r="C23" s="73"/>
      <c r="D23" s="73"/>
      <c r="E23" s="73"/>
      <c r="F23" s="117" t="str">
        <f>'CDCM discounts'!F39</f>
        <v>LDNO HV: HV user</v>
      </c>
      <c r="G23" s="117" t="str">
        <f>'CDCM discounts'!G39</f>
        <v>%</v>
      </c>
      <c r="H23" s="118">
        <f>'CDCM discounts'!H39</f>
        <v>0.18263619915802798</v>
      </c>
      <c r="I23" s="74"/>
      <c r="J23" s="73"/>
      <c r="K23" s="42"/>
    </row>
    <row r="24" spans="1:11" x14ac:dyDescent="0.25">
      <c r="A24" s="73"/>
      <c r="B24" s="73"/>
      <c r="C24" s="73"/>
      <c r="D24" s="73"/>
      <c r="E24" s="73"/>
      <c r="F24" s="73"/>
      <c r="G24" s="73"/>
      <c r="H24" s="74"/>
      <c r="I24" s="74"/>
      <c r="J24" s="73"/>
      <c r="K24" s="42"/>
    </row>
    <row r="25" spans="1:11" x14ac:dyDescent="0.25">
      <c r="A25" s="73"/>
      <c r="B25" s="101"/>
      <c r="C25" s="110" t="s">
        <v>636</v>
      </c>
      <c r="D25" s="110"/>
      <c r="E25" s="110"/>
      <c r="F25" s="110"/>
      <c r="G25" s="110"/>
      <c r="H25" s="111"/>
      <c r="I25" s="111"/>
      <c r="J25" s="110"/>
      <c r="K25" s="42"/>
    </row>
    <row r="26" spans="1:11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3"/>
      <c r="K26" s="42"/>
    </row>
    <row r="27" spans="1:11" s="1" customFormat="1" x14ac:dyDescent="0.25">
      <c r="A27" s="73"/>
      <c r="B27" s="73"/>
      <c r="C27" s="109"/>
      <c r="D27" s="109" t="s">
        <v>608</v>
      </c>
      <c r="E27" s="73"/>
      <c r="F27" s="73"/>
      <c r="G27" s="73"/>
      <c r="H27" s="74"/>
      <c r="I27" s="74"/>
      <c r="J27" s="73"/>
      <c r="K27" s="42"/>
    </row>
    <row r="28" spans="1:11" s="1" customFormat="1" x14ac:dyDescent="0.25">
      <c r="A28" s="73"/>
      <c r="B28" s="73"/>
      <c r="C28" s="109"/>
      <c r="D28" s="109" t="s">
        <v>707</v>
      </c>
      <c r="E28" s="73"/>
      <c r="F28" s="73"/>
      <c r="G28" s="73"/>
      <c r="H28" s="74"/>
      <c r="I28" s="74"/>
      <c r="J28" s="73"/>
      <c r="K28" s="42"/>
    </row>
    <row r="29" spans="1:11" s="1" customFormat="1" x14ac:dyDescent="0.25">
      <c r="A29" s="73"/>
      <c r="B29" s="73"/>
      <c r="C29" s="109"/>
      <c r="D29" s="109"/>
      <c r="E29" s="73"/>
      <c r="F29" s="73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9"/>
      <c r="E30" s="119" t="s">
        <v>544</v>
      </c>
      <c r="F30" s="101"/>
      <c r="G30" s="73"/>
      <c r="H30" s="74"/>
      <c r="I30" s="74"/>
      <c r="J30" s="73"/>
      <c r="K30" s="42"/>
    </row>
    <row r="31" spans="1:11" x14ac:dyDescent="0.25">
      <c r="A31" s="73"/>
      <c r="B31" s="73"/>
      <c r="C31" s="73"/>
      <c r="D31" s="73"/>
      <c r="E31" s="101"/>
      <c r="F31" s="113" t="s">
        <v>279</v>
      </c>
      <c r="G31" s="113" t="s">
        <v>44</v>
      </c>
      <c r="H31" s="114">
        <f>'EDCM discounts'!J105</f>
        <v>0.95128975044448394</v>
      </c>
      <c r="I31" s="74"/>
      <c r="J31" s="231">
        <v>0</v>
      </c>
      <c r="K31" s="42"/>
    </row>
    <row r="32" spans="1:11" x14ac:dyDescent="0.25">
      <c r="A32" s="73"/>
      <c r="B32" s="73"/>
      <c r="C32" s="73"/>
      <c r="D32" s="73"/>
      <c r="E32" s="101"/>
      <c r="F32" s="120" t="s">
        <v>545</v>
      </c>
      <c r="G32" s="115" t="s">
        <v>44</v>
      </c>
      <c r="H32" s="116">
        <f>'EDCM discounts'!K105</f>
        <v>0.9208796628378928</v>
      </c>
      <c r="I32" s="74"/>
      <c r="J32" s="231">
        <v>0</v>
      </c>
      <c r="K32" s="42"/>
    </row>
    <row r="33" spans="1:11" x14ac:dyDescent="0.25">
      <c r="A33" s="73"/>
      <c r="B33" s="73"/>
      <c r="C33" s="73"/>
      <c r="D33" s="73"/>
      <c r="E33" s="101"/>
      <c r="F33" s="120" t="s">
        <v>546</v>
      </c>
      <c r="G33" s="115" t="s">
        <v>44</v>
      </c>
      <c r="H33" s="116">
        <f>'EDCM discounts'!L105</f>
        <v>0.9068323714454799</v>
      </c>
      <c r="I33" s="74"/>
      <c r="J33" s="231">
        <v>0</v>
      </c>
      <c r="K33" s="42"/>
    </row>
    <row r="34" spans="1:11" x14ac:dyDescent="0.25">
      <c r="A34" s="73"/>
      <c r="B34" s="73"/>
      <c r="C34" s="73"/>
      <c r="D34" s="73"/>
      <c r="E34" s="101"/>
      <c r="F34" s="117" t="s">
        <v>280</v>
      </c>
      <c r="G34" s="117" t="s">
        <v>44</v>
      </c>
      <c r="H34" s="118">
        <f>'EDCM discounts'!M105</f>
        <v>0.83079104263894099</v>
      </c>
      <c r="I34" s="74"/>
      <c r="J34" s="231">
        <v>0</v>
      </c>
      <c r="K34" s="42"/>
    </row>
    <row r="35" spans="1:11" x14ac:dyDescent="0.25">
      <c r="A35" s="121"/>
      <c r="B35" s="121"/>
      <c r="C35" s="121"/>
      <c r="D35" s="121"/>
      <c r="E35" s="122"/>
      <c r="F35" s="122"/>
      <c r="G35" s="123"/>
      <c r="H35" s="124"/>
      <c r="I35" s="125"/>
      <c r="J35" s="121"/>
      <c r="K35" s="126"/>
    </row>
    <row r="36" spans="1:11" x14ac:dyDescent="0.25">
      <c r="A36" s="121"/>
      <c r="B36" s="121"/>
      <c r="C36" s="121"/>
      <c r="D36" s="121"/>
      <c r="E36" s="119" t="s">
        <v>547</v>
      </c>
      <c r="F36" s="122"/>
      <c r="G36" s="123"/>
      <c r="H36" s="124"/>
      <c r="I36" s="125"/>
      <c r="J36" s="121"/>
      <c r="K36" s="126"/>
    </row>
    <row r="37" spans="1:11" x14ac:dyDescent="0.25">
      <c r="A37" s="73"/>
      <c r="B37" s="73"/>
      <c r="C37" s="73"/>
      <c r="D37" s="73"/>
      <c r="E37" s="101"/>
      <c r="F37" s="113" t="s">
        <v>279</v>
      </c>
      <c r="G37" s="113" t="s">
        <v>44</v>
      </c>
      <c r="H37" s="211">
        <f>'EDCM discounts'!J106</f>
        <v>0.88143281252232841</v>
      </c>
      <c r="I37" s="74"/>
      <c r="J37" s="231">
        <v>0</v>
      </c>
      <c r="K37" s="42"/>
    </row>
    <row r="38" spans="1:11" x14ac:dyDescent="0.25">
      <c r="A38" s="73"/>
      <c r="B38" s="73"/>
      <c r="C38" s="73"/>
      <c r="D38" s="73"/>
      <c r="E38" s="101"/>
      <c r="F38" s="120" t="s">
        <v>545</v>
      </c>
      <c r="G38" s="115" t="s">
        <v>44</v>
      </c>
      <c r="H38" s="116">
        <f>'EDCM discounts'!K106</f>
        <v>0.80741063872184926</v>
      </c>
      <c r="I38" s="74"/>
      <c r="J38" s="231">
        <v>0</v>
      </c>
      <c r="K38" s="42"/>
    </row>
    <row r="39" spans="1:11" x14ac:dyDescent="0.25">
      <c r="A39" s="73"/>
      <c r="B39" s="73"/>
      <c r="C39" s="73"/>
      <c r="D39" s="73"/>
      <c r="E39" s="101"/>
      <c r="F39" s="120" t="s">
        <v>546</v>
      </c>
      <c r="G39" s="115" t="s">
        <v>44</v>
      </c>
      <c r="H39" s="116">
        <f>'EDCM discounts'!L106</f>
        <v>0.7732176742579856</v>
      </c>
      <c r="I39" s="74"/>
      <c r="J39" s="231">
        <v>0</v>
      </c>
      <c r="K39" s="42"/>
    </row>
    <row r="40" spans="1:11" x14ac:dyDescent="0.25">
      <c r="A40" s="73"/>
      <c r="B40" s="73"/>
      <c r="C40" s="73"/>
      <c r="D40" s="73"/>
      <c r="E40" s="101"/>
      <c r="F40" s="117" t="s">
        <v>280</v>
      </c>
      <c r="G40" s="117" t="s">
        <v>44</v>
      </c>
      <c r="H40" s="118">
        <f>'EDCM discounts'!M106</f>
        <v>0.5881230263978785</v>
      </c>
      <c r="I40" s="74"/>
      <c r="J40" s="231">
        <v>0</v>
      </c>
      <c r="K40" s="42"/>
    </row>
    <row r="41" spans="1:11" x14ac:dyDescent="0.25">
      <c r="A41" s="121"/>
      <c r="B41" s="121"/>
      <c r="C41" s="121"/>
      <c r="D41" s="121"/>
      <c r="E41" s="122"/>
      <c r="F41" s="122"/>
      <c r="G41" s="123"/>
      <c r="H41" s="124"/>
      <c r="I41" s="125"/>
      <c r="J41" s="121"/>
      <c r="K41" s="126"/>
    </row>
    <row r="42" spans="1:11" x14ac:dyDescent="0.25">
      <c r="A42" s="121"/>
      <c r="B42" s="121"/>
      <c r="C42" s="121"/>
      <c r="D42" s="121"/>
      <c r="E42" s="119" t="s">
        <v>548</v>
      </c>
      <c r="F42" s="122"/>
      <c r="G42" s="123"/>
      <c r="H42" s="124"/>
      <c r="I42" s="125"/>
      <c r="J42" s="121"/>
      <c r="K42" s="126"/>
    </row>
    <row r="43" spans="1:11" x14ac:dyDescent="0.25">
      <c r="A43" s="73"/>
      <c r="B43" s="73"/>
      <c r="C43" s="73"/>
      <c r="D43" s="73"/>
      <c r="E43" s="101"/>
      <c r="F43" s="113" t="s">
        <v>279</v>
      </c>
      <c r="G43" s="113" t="s">
        <v>44</v>
      </c>
      <c r="H43" s="211">
        <f>'EDCM discounts'!J107</f>
        <v>0.82924223056230328</v>
      </c>
      <c r="I43" s="74"/>
      <c r="J43" s="231">
        <v>0</v>
      </c>
      <c r="K43" s="42"/>
    </row>
    <row r="44" spans="1:11" x14ac:dyDescent="0.25">
      <c r="A44" s="73"/>
      <c r="B44" s="73"/>
      <c r="C44" s="73"/>
      <c r="D44" s="73"/>
      <c r="E44" s="101"/>
      <c r="F44" s="120" t="s">
        <v>545</v>
      </c>
      <c r="G44" s="115" t="s">
        <v>44</v>
      </c>
      <c r="H44" s="116">
        <f>'EDCM discounts'!K107</f>
        <v>0.72263717771427427</v>
      </c>
      <c r="I44" s="74"/>
      <c r="J44" s="231">
        <v>0</v>
      </c>
      <c r="K44" s="42"/>
    </row>
    <row r="45" spans="1:11" x14ac:dyDescent="0.25">
      <c r="A45" s="73"/>
      <c r="B45" s="73"/>
      <c r="C45" s="73"/>
      <c r="D45" s="73"/>
      <c r="E45" s="101"/>
      <c r="F45" s="120" t="s">
        <v>546</v>
      </c>
      <c r="G45" s="115" t="s">
        <v>44</v>
      </c>
      <c r="H45" s="116">
        <f>'EDCM discounts'!L107</f>
        <v>0.67339324719250715</v>
      </c>
      <c r="I45" s="74"/>
      <c r="J45" s="231">
        <v>0</v>
      </c>
      <c r="K45" s="42"/>
    </row>
    <row r="46" spans="1:11" x14ac:dyDescent="0.25">
      <c r="A46" s="73"/>
      <c r="B46" s="73"/>
      <c r="C46" s="73"/>
      <c r="D46" s="73"/>
      <c r="E46" s="101"/>
      <c r="F46" s="117" t="s">
        <v>280</v>
      </c>
      <c r="G46" s="117" t="s">
        <v>44</v>
      </c>
      <c r="H46" s="118">
        <f>'EDCM discounts'!M107</f>
        <v>0.40682414088390129</v>
      </c>
      <c r="I46" s="74"/>
      <c r="J46" s="231">
        <v>0</v>
      </c>
      <c r="K46" s="42"/>
    </row>
    <row r="47" spans="1:11" x14ac:dyDescent="0.25">
      <c r="A47" s="121"/>
      <c r="B47" s="121"/>
      <c r="C47" s="121"/>
      <c r="D47" s="121"/>
      <c r="E47" s="122"/>
      <c r="F47" s="122"/>
      <c r="G47" s="123"/>
      <c r="H47" s="124"/>
      <c r="I47" s="125"/>
      <c r="J47" s="121"/>
      <c r="K47" s="126"/>
    </row>
    <row r="48" spans="1:11" x14ac:dyDescent="0.25">
      <c r="A48" s="121"/>
      <c r="B48" s="121"/>
      <c r="C48" s="121"/>
      <c r="D48" s="121"/>
      <c r="E48" s="119" t="s">
        <v>549</v>
      </c>
      <c r="F48" s="122"/>
      <c r="G48" s="123"/>
      <c r="H48" s="124"/>
      <c r="I48" s="125"/>
      <c r="J48" s="121"/>
      <c r="K48" s="126"/>
    </row>
    <row r="49" spans="1:11" x14ac:dyDescent="0.25">
      <c r="A49" s="73"/>
      <c r="B49" s="73"/>
      <c r="C49" s="73"/>
      <c r="D49" s="73"/>
      <c r="E49" s="101"/>
      <c r="F49" s="113" t="s">
        <v>279</v>
      </c>
      <c r="G49" s="113" t="s">
        <v>44</v>
      </c>
      <c r="H49" s="114">
        <f>'EDCM discounts'!J108</f>
        <v>0.77619538769376561</v>
      </c>
      <c r="I49" s="74"/>
      <c r="J49" s="231">
        <v>0</v>
      </c>
      <c r="K49" s="42"/>
    </row>
    <row r="50" spans="1:11" x14ac:dyDescent="0.25">
      <c r="A50" s="73"/>
      <c r="B50" s="73"/>
      <c r="C50" s="73"/>
      <c r="D50" s="73"/>
      <c r="E50" s="101"/>
      <c r="F50" s="120" t="s">
        <v>545</v>
      </c>
      <c r="G50" s="115" t="s">
        <v>44</v>
      </c>
      <c r="H50" s="116">
        <f>'EDCM discounts'!K108</f>
        <v>0.63647288721191242</v>
      </c>
      <c r="I50" s="74"/>
      <c r="J50" s="231">
        <v>0</v>
      </c>
      <c r="K50" s="42"/>
    </row>
    <row r="51" spans="1:11" x14ac:dyDescent="0.25">
      <c r="A51" s="73"/>
      <c r="B51" s="73"/>
      <c r="C51" s="73"/>
      <c r="D51" s="73"/>
      <c r="E51" s="101"/>
      <c r="F51" s="120" t="s">
        <v>546</v>
      </c>
      <c r="G51" s="115" t="s">
        <v>44</v>
      </c>
      <c r="H51" s="116">
        <f>'EDCM discounts'!L108</f>
        <v>0.57193105807493483</v>
      </c>
      <c r="I51" s="74"/>
      <c r="J51" s="231">
        <v>0</v>
      </c>
      <c r="K51" s="42"/>
    </row>
    <row r="52" spans="1:11" x14ac:dyDescent="0.25">
      <c r="A52" s="73"/>
      <c r="B52" s="73"/>
      <c r="C52" s="73"/>
      <c r="D52" s="73"/>
      <c r="E52" s="101"/>
      <c r="F52" s="117" t="s">
        <v>280</v>
      </c>
      <c r="G52" s="117" t="s">
        <v>44</v>
      </c>
      <c r="H52" s="118">
        <f>'EDCM discounts'!M108</f>
        <v>0.22255078866362427</v>
      </c>
      <c r="I52" s="74"/>
      <c r="J52" s="231">
        <v>0</v>
      </c>
      <c r="K52" s="42"/>
    </row>
    <row r="53" spans="1:11" x14ac:dyDescent="0.25">
      <c r="A53" s="121"/>
      <c r="B53" s="121"/>
      <c r="C53" s="121"/>
      <c r="D53" s="121"/>
      <c r="E53" s="122"/>
      <c r="F53" s="122"/>
      <c r="G53" s="123"/>
      <c r="H53" s="124"/>
      <c r="I53" s="125"/>
      <c r="J53" s="121"/>
      <c r="K53" s="126"/>
    </row>
    <row r="54" spans="1:11" x14ac:dyDescent="0.25">
      <c r="A54" s="121"/>
      <c r="B54" s="121"/>
      <c r="C54" s="121"/>
      <c r="D54" s="121"/>
      <c r="E54" s="119" t="s">
        <v>550</v>
      </c>
      <c r="F54" s="122"/>
      <c r="G54" s="123"/>
      <c r="H54" s="124"/>
      <c r="I54" s="125"/>
      <c r="J54" s="121"/>
      <c r="K54" s="126"/>
    </row>
    <row r="55" spans="1:11" x14ac:dyDescent="0.25">
      <c r="A55" s="73"/>
      <c r="B55" s="73"/>
      <c r="C55" s="73"/>
      <c r="D55" s="73"/>
      <c r="E55" s="101"/>
      <c r="F55" s="113" t="s">
        <v>279</v>
      </c>
      <c r="G55" s="113" t="s">
        <v>44</v>
      </c>
      <c r="H55" s="114">
        <f>'EDCM discounts'!J109</f>
        <v>0.71212960403994574</v>
      </c>
      <c r="I55" s="74"/>
      <c r="J55" s="231">
        <v>0</v>
      </c>
      <c r="K55" s="42"/>
    </row>
    <row r="56" spans="1:11" x14ac:dyDescent="0.25">
      <c r="A56" s="73"/>
      <c r="B56" s="73"/>
      <c r="C56" s="73"/>
      <c r="D56" s="73"/>
      <c r="E56" s="101"/>
      <c r="F56" s="120" t="s">
        <v>545</v>
      </c>
      <c r="G56" s="115" t="s">
        <v>44</v>
      </c>
      <c r="H56" s="116">
        <f>'EDCM discounts'!K109</f>
        <v>0.53241046812149639</v>
      </c>
      <c r="I56" s="74"/>
      <c r="J56" s="231">
        <v>0</v>
      </c>
      <c r="K56" s="42"/>
    </row>
    <row r="57" spans="1:11" x14ac:dyDescent="0.25">
      <c r="A57" s="73"/>
      <c r="B57" s="73"/>
      <c r="C57" s="73"/>
      <c r="D57" s="73"/>
      <c r="E57" s="101"/>
      <c r="F57" s="120" t="s">
        <v>546</v>
      </c>
      <c r="G57" s="115" t="s">
        <v>44</v>
      </c>
      <c r="H57" s="116">
        <f>'EDCM discounts'!L109</f>
        <v>0.44939304628112303</v>
      </c>
      <c r="I57" s="74"/>
      <c r="J57" s="231">
        <v>0</v>
      </c>
      <c r="K57" s="42"/>
    </row>
    <row r="58" spans="1:11" x14ac:dyDescent="0.25">
      <c r="A58" s="73"/>
      <c r="B58" s="73"/>
      <c r="C58" s="73"/>
      <c r="D58" s="73"/>
      <c r="E58" s="101"/>
      <c r="F58" s="117" t="s">
        <v>280</v>
      </c>
      <c r="G58" s="117" t="s">
        <v>44</v>
      </c>
      <c r="H58" s="118">
        <f>'EDCM discounts'!M109</f>
        <v>0</v>
      </c>
      <c r="I58" s="74"/>
      <c r="J58" s="231">
        <v>0</v>
      </c>
      <c r="K58" s="42"/>
    </row>
    <row r="59" spans="1:11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3"/>
      <c r="K59" s="42"/>
    </row>
    <row r="60" spans="1:11" x14ac:dyDescent="0.25">
      <c r="A60" s="73"/>
      <c r="B60" s="107" t="s">
        <v>30</v>
      </c>
      <c r="C60" s="107"/>
      <c r="D60" s="107"/>
      <c r="E60" s="107"/>
      <c r="F60" s="107"/>
      <c r="G60" s="107"/>
      <c r="H60" s="108"/>
      <c r="I60" s="108"/>
      <c r="J60" s="107"/>
      <c r="K60" s="42"/>
    </row>
  </sheetData>
  <sheetProtection formatCells="0" formatColumns="0" formatRows="0" sort="0" autoFilter="0"/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9C9C9"/>
  </sheetPr>
  <dimension ref="A1:M59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20.7109375" customWidth="1"/>
    <col min="7" max="7" width="22.7109375" customWidth="1"/>
    <col min="8" max="8" width="24.28515625" customWidth="1"/>
    <col min="9" max="9" width="30.7109375" customWidth="1"/>
    <col min="10" max="10" width="20.7109375" style="1" customWidth="1"/>
    <col min="11" max="11" width="10.7109375" customWidth="1"/>
    <col min="12" max="12" width="82.7109375" customWidth="1"/>
    <col min="13" max="13" width="2.7109375" customWidth="1"/>
    <col min="14" max="16384" width="9.140625" hidden="1"/>
  </cols>
  <sheetData>
    <row r="1" spans="1:13" s="3" customFormat="1" x14ac:dyDescent="0.25">
      <c r="A1" s="70" t="str">
        <f ca="1">MID(CELL("filename",A1),FIND("]",CELL("filename",A1))+1,255)</f>
        <v>Version control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3" customFormat="1" x14ac:dyDescent="0.25">
      <c r="A2" s="70" t="str">
        <f>Cover!D21&amp;" - "&amp;Cover!D23</f>
        <v>[Enter DNO name] - [enter data version name]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4" customFormat="1" x14ac:dyDescent="0.25">
      <c r="A3" s="71" t="str">
        <f>Cover!D2&amp;" - "&amp;Cover!D8&amp;" v"&amp;Cover!D10&amp;" - "&amp;Cover!D19</f>
        <v>PCDM charging model - Release for charge setting v4 - 2021/22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1" customFormat="1" x14ac:dyDescent="0.25">
      <c r="A4" s="72" t="str">
        <f>H42 &amp; IF(H42 = 1, " issue", " issues") &amp;" identified in checks on this sheet"</f>
        <v>1 issue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</row>
    <row r="5" spans="1:13" x14ac:dyDescent="0.25">
      <c r="A5" s="75"/>
      <c r="B5" s="76" t="s">
        <v>12</v>
      </c>
      <c r="C5" s="76"/>
      <c r="D5" s="76"/>
      <c r="E5" s="76"/>
      <c r="F5" s="76"/>
      <c r="G5" s="77"/>
      <c r="H5" s="77"/>
      <c r="I5" s="77"/>
      <c r="J5" s="77"/>
      <c r="K5" s="77"/>
      <c r="L5" s="76"/>
      <c r="M5" s="42"/>
    </row>
    <row r="6" spans="1:13" x14ac:dyDescent="0.25">
      <c r="A6" s="75"/>
      <c r="B6" s="75"/>
      <c r="C6" s="75"/>
      <c r="D6" s="75"/>
      <c r="E6" s="75"/>
      <c r="F6" s="75"/>
      <c r="G6" s="78"/>
      <c r="H6" s="78"/>
      <c r="I6" s="78"/>
      <c r="J6" s="78"/>
      <c r="K6" s="78"/>
      <c r="L6" s="75"/>
      <c r="M6" s="42"/>
    </row>
    <row r="7" spans="1:13" x14ac:dyDescent="0.25">
      <c r="A7" s="75"/>
      <c r="B7" s="75"/>
      <c r="C7" s="75"/>
      <c r="D7" s="75"/>
      <c r="E7" s="75"/>
      <c r="F7" s="75" t="s">
        <v>13</v>
      </c>
      <c r="G7" s="42"/>
      <c r="H7" s="79">
        <f>LOOKUP(2,1/(F20:F29&lt;&gt;""),F20:F29)</f>
        <v>43777</v>
      </c>
      <c r="I7" s="75"/>
      <c r="J7" s="75"/>
      <c r="K7" s="75"/>
      <c r="L7" s="75"/>
      <c r="M7" s="42"/>
    </row>
    <row r="8" spans="1:13" x14ac:dyDescent="0.25">
      <c r="A8" s="75"/>
      <c r="B8" s="75"/>
      <c r="C8" s="75"/>
      <c r="D8" s="75"/>
      <c r="E8" s="75"/>
      <c r="F8" s="75"/>
      <c r="G8" s="42"/>
      <c r="H8" s="78"/>
      <c r="I8" s="75"/>
      <c r="J8" s="75"/>
      <c r="K8" s="75"/>
      <c r="L8" s="75"/>
      <c r="M8" s="42"/>
    </row>
    <row r="9" spans="1:13" x14ac:dyDescent="0.25">
      <c r="A9" s="75"/>
      <c r="B9" s="75"/>
      <c r="C9" s="75"/>
      <c r="D9" s="75"/>
      <c r="E9" s="75"/>
      <c r="F9" s="75" t="s">
        <v>485</v>
      </c>
      <c r="G9" s="42"/>
      <c r="H9" s="81" t="str">
        <f>LOOKUP(2,1/(G20:G29&lt;&gt;""),G20:G29)</f>
        <v>Release for charge setting</v>
      </c>
      <c r="I9" s="75"/>
      <c r="J9" s="75"/>
      <c r="K9" s="75"/>
      <c r="L9" s="75"/>
      <c r="M9" s="42"/>
    </row>
    <row r="10" spans="1:13" x14ac:dyDescent="0.25">
      <c r="A10" s="75"/>
      <c r="B10" s="75"/>
      <c r="C10" s="75"/>
      <c r="D10" s="75"/>
      <c r="E10" s="75"/>
      <c r="F10" s="75"/>
      <c r="G10" s="78"/>
      <c r="H10" s="75"/>
      <c r="I10" s="75"/>
      <c r="J10" s="75"/>
      <c r="K10" s="75"/>
      <c r="L10" s="75"/>
      <c r="M10" s="42"/>
    </row>
    <row r="11" spans="1:13" x14ac:dyDescent="0.25">
      <c r="A11" s="75"/>
      <c r="B11" s="75"/>
      <c r="C11" s="75"/>
      <c r="D11" s="75"/>
      <c r="E11" s="75"/>
      <c r="F11" s="75" t="s">
        <v>754</v>
      </c>
      <c r="G11" s="42"/>
      <c r="H11" s="80">
        <f>LOOKUP(2,1/(H20:H29&lt;&gt;""),H20:H29)</f>
        <v>4</v>
      </c>
      <c r="I11" s="75"/>
      <c r="J11" s="75"/>
      <c r="K11" s="75"/>
      <c r="L11" s="75"/>
      <c r="M11" s="42"/>
    </row>
    <row r="12" spans="1:13" x14ac:dyDescent="0.25">
      <c r="A12" s="75"/>
      <c r="B12" s="75"/>
      <c r="C12" s="75"/>
      <c r="D12" s="75"/>
      <c r="E12" s="75"/>
      <c r="F12" s="75"/>
      <c r="G12" s="42"/>
      <c r="H12" s="78"/>
      <c r="I12" s="78"/>
      <c r="J12" s="78"/>
      <c r="K12" s="75"/>
      <c r="L12" s="75"/>
      <c r="M12" s="42"/>
    </row>
    <row r="13" spans="1:13" x14ac:dyDescent="0.25">
      <c r="A13" s="75"/>
      <c r="B13" s="75"/>
      <c r="C13" s="75"/>
      <c r="D13" s="75"/>
      <c r="E13" s="75"/>
      <c r="F13" s="75" t="s">
        <v>613</v>
      </c>
      <c r="G13" s="42"/>
      <c r="H13" s="81" t="str">
        <f>LOOKUP(2,1/(I20:I29&lt;&gt;""),I20:I29)</f>
        <v>Attachment A_01 April 2021 Charging Methodologies Pre-Release_Issued October 2019 (shared 10/10/2019)</v>
      </c>
      <c r="I13" s="78"/>
      <c r="J13" s="78"/>
      <c r="K13" s="75"/>
      <c r="L13" s="75"/>
      <c r="M13" s="42"/>
    </row>
    <row r="14" spans="1:13" s="1" customFormat="1" x14ac:dyDescent="0.25">
      <c r="A14" s="75"/>
      <c r="B14" s="75"/>
      <c r="C14" s="75"/>
      <c r="D14" s="75"/>
      <c r="E14" s="75"/>
      <c r="F14" s="75"/>
      <c r="G14" s="42"/>
      <c r="H14" s="79"/>
      <c r="I14" s="78"/>
      <c r="J14" s="78"/>
      <c r="K14" s="75"/>
      <c r="L14" s="75"/>
      <c r="M14" s="42"/>
    </row>
    <row r="15" spans="1:13" s="1" customFormat="1" x14ac:dyDescent="0.25">
      <c r="A15" s="75"/>
      <c r="B15" s="75"/>
      <c r="C15" s="75"/>
      <c r="D15" s="75"/>
      <c r="E15" s="75"/>
      <c r="F15" s="82" t="s">
        <v>614</v>
      </c>
      <c r="G15" s="42"/>
      <c r="H15" s="79" t="str">
        <f>LOOKUP(2,1/(J20:J29&lt;&gt;""),J20:J29)</f>
        <v>Schedule 29</v>
      </c>
      <c r="I15" s="78"/>
      <c r="J15" s="78"/>
      <c r="K15" s="75"/>
      <c r="L15" s="75"/>
      <c r="M15" s="42"/>
    </row>
    <row r="16" spans="1:13" x14ac:dyDescent="0.25">
      <c r="A16" s="75"/>
      <c r="B16" s="75"/>
      <c r="C16" s="75"/>
      <c r="D16" s="75"/>
      <c r="E16" s="75"/>
      <c r="F16" s="75"/>
      <c r="G16" s="42"/>
      <c r="H16" s="79"/>
      <c r="I16" s="78"/>
      <c r="J16" s="78"/>
      <c r="K16" s="75"/>
      <c r="L16" s="75"/>
      <c r="M16" s="42"/>
    </row>
    <row r="17" spans="1:13" x14ac:dyDescent="0.25">
      <c r="A17" s="42"/>
      <c r="B17" s="83" t="s">
        <v>14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42"/>
    </row>
    <row r="18" spans="1:13" x14ac:dyDescent="0.25">
      <c r="A18" s="75"/>
      <c r="B18" s="75"/>
      <c r="C18" s="75"/>
      <c r="D18" s="75"/>
      <c r="E18" s="75"/>
      <c r="F18" s="75"/>
      <c r="G18" s="78"/>
      <c r="H18" s="75"/>
      <c r="I18" s="75"/>
      <c r="J18" s="75"/>
      <c r="K18" s="75"/>
      <c r="L18" s="75"/>
      <c r="M18" s="42"/>
    </row>
    <row r="19" spans="1:13" x14ac:dyDescent="0.25">
      <c r="A19" s="75"/>
      <c r="B19" s="75"/>
      <c r="C19" s="75"/>
      <c r="D19" s="75"/>
      <c r="E19" s="75"/>
      <c r="F19" s="84" t="s">
        <v>15</v>
      </c>
      <c r="G19" s="85" t="s">
        <v>16</v>
      </c>
      <c r="H19" s="84" t="s">
        <v>756</v>
      </c>
      <c r="I19" s="85" t="s">
        <v>610</v>
      </c>
      <c r="J19" s="85" t="s">
        <v>611</v>
      </c>
      <c r="K19" s="85" t="s">
        <v>17</v>
      </c>
      <c r="L19" s="85" t="s">
        <v>18</v>
      </c>
      <c r="M19" s="42"/>
    </row>
    <row r="20" spans="1:13" ht="30" x14ac:dyDescent="0.25">
      <c r="A20" s="75"/>
      <c r="B20" s="75"/>
      <c r="C20" s="75"/>
      <c r="D20" s="75"/>
      <c r="E20" s="75"/>
      <c r="F20" s="18">
        <v>43250</v>
      </c>
      <c r="G20" s="18" t="s">
        <v>728</v>
      </c>
      <c r="H20" s="22">
        <v>1</v>
      </c>
      <c r="I20" s="18" t="s">
        <v>430</v>
      </c>
      <c r="J20" s="18" t="s">
        <v>729</v>
      </c>
      <c r="K20" s="18" t="s">
        <v>566</v>
      </c>
      <c r="L20" s="18" t="s">
        <v>513</v>
      </c>
      <c r="M20" s="42"/>
    </row>
    <row r="21" spans="1:13" ht="30" x14ac:dyDescent="0.25">
      <c r="A21" s="75"/>
      <c r="B21" s="75"/>
      <c r="C21" s="75"/>
      <c r="D21" s="75"/>
      <c r="E21" s="75"/>
      <c r="F21" s="18">
        <v>43301</v>
      </c>
      <c r="G21" s="18" t="s">
        <v>728</v>
      </c>
      <c r="H21" s="22">
        <v>2</v>
      </c>
      <c r="I21" s="18" t="s">
        <v>738</v>
      </c>
      <c r="J21" s="18" t="s">
        <v>729</v>
      </c>
      <c r="K21" s="18" t="s">
        <v>566</v>
      </c>
      <c r="L21" s="18" t="s">
        <v>739</v>
      </c>
      <c r="M21" s="42"/>
    </row>
    <row r="22" spans="1:13" s="1" customFormat="1" ht="30" x14ac:dyDescent="0.25">
      <c r="A22" s="75"/>
      <c r="B22" s="75"/>
      <c r="C22" s="75"/>
      <c r="D22" s="75"/>
      <c r="E22" s="75"/>
      <c r="F22" s="18">
        <v>43341</v>
      </c>
      <c r="G22" s="222" t="s">
        <v>728</v>
      </c>
      <c r="H22" s="22">
        <v>3</v>
      </c>
      <c r="I22" s="222" t="s">
        <v>747</v>
      </c>
      <c r="J22" s="222" t="s">
        <v>729</v>
      </c>
      <c r="K22" s="222" t="s">
        <v>566</v>
      </c>
      <c r="L22" s="222" t="s">
        <v>758</v>
      </c>
      <c r="M22" s="42"/>
    </row>
    <row r="23" spans="1:13" ht="45" x14ac:dyDescent="0.25">
      <c r="A23" s="75"/>
      <c r="B23" s="75"/>
      <c r="C23" s="75"/>
      <c r="D23" s="75"/>
      <c r="E23" s="75"/>
      <c r="F23" s="18">
        <v>43389</v>
      </c>
      <c r="G23" s="18" t="s">
        <v>753</v>
      </c>
      <c r="H23" s="22">
        <v>3</v>
      </c>
      <c r="I23" s="222" t="s">
        <v>755</v>
      </c>
      <c r="J23" s="222" t="s">
        <v>729</v>
      </c>
      <c r="K23" s="222" t="s">
        <v>566</v>
      </c>
      <c r="L23" s="222" t="s">
        <v>757</v>
      </c>
      <c r="M23" s="42"/>
    </row>
    <row r="24" spans="1:13" ht="60" x14ac:dyDescent="0.25">
      <c r="A24" s="75"/>
      <c r="B24" s="75"/>
      <c r="C24" s="75"/>
      <c r="D24" s="75"/>
      <c r="E24" s="75"/>
      <c r="F24" s="18">
        <v>43777</v>
      </c>
      <c r="G24" s="18" t="s">
        <v>753</v>
      </c>
      <c r="H24" s="22">
        <v>4</v>
      </c>
      <c r="I24" s="18" t="s">
        <v>761</v>
      </c>
      <c r="J24" s="222" t="s">
        <v>729</v>
      </c>
      <c r="K24" s="222" t="s">
        <v>566</v>
      </c>
      <c r="L24" s="222" t="s">
        <v>757</v>
      </c>
      <c r="M24" s="42"/>
    </row>
    <row r="25" spans="1:13" x14ac:dyDescent="0.25">
      <c r="A25" s="75"/>
      <c r="B25" s="75"/>
      <c r="C25" s="75"/>
      <c r="D25" s="75"/>
      <c r="E25" s="75"/>
      <c r="F25" s="18"/>
      <c r="G25" s="18"/>
      <c r="H25" s="22"/>
      <c r="I25" s="18"/>
      <c r="J25" s="18"/>
      <c r="K25" s="18"/>
      <c r="L25" s="18"/>
      <c r="M25" s="42"/>
    </row>
    <row r="26" spans="1:13" x14ac:dyDescent="0.25">
      <c r="A26" s="75"/>
      <c r="B26" s="75"/>
      <c r="C26" s="75"/>
      <c r="D26" s="75"/>
      <c r="E26" s="75"/>
      <c r="F26" s="18"/>
      <c r="G26" s="18"/>
      <c r="H26" s="22"/>
      <c r="I26" s="18"/>
      <c r="J26" s="18"/>
      <c r="K26" s="18"/>
      <c r="L26" s="18"/>
      <c r="M26" s="42"/>
    </row>
    <row r="27" spans="1:13" x14ac:dyDescent="0.25">
      <c r="A27" s="75"/>
      <c r="B27" s="75"/>
      <c r="C27" s="75"/>
      <c r="D27" s="75"/>
      <c r="E27" s="75"/>
      <c r="F27" s="18"/>
      <c r="G27" s="18"/>
      <c r="H27" s="22"/>
      <c r="I27" s="18"/>
      <c r="J27" s="18"/>
      <c r="K27" s="18"/>
      <c r="L27" s="18"/>
      <c r="M27" s="42"/>
    </row>
    <row r="28" spans="1:13" x14ac:dyDescent="0.25">
      <c r="A28" s="75"/>
      <c r="B28" s="75"/>
      <c r="C28" s="75"/>
      <c r="D28" s="75"/>
      <c r="E28" s="75"/>
      <c r="F28" s="18"/>
      <c r="G28" s="18"/>
      <c r="H28" s="22"/>
      <c r="I28" s="18"/>
      <c r="J28" s="18"/>
      <c r="K28" s="18"/>
      <c r="L28" s="18"/>
      <c r="M28" s="42"/>
    </row>
    <row r="29" spans="1:13" x14ac:dyDescent="0.25">
      <c r="A29" s="75"/>
      <c r="B29" s="75"/>
      <c r="C29" s="75"/>
      <c r="D29" s="75"/>
      <c r="E29" s="75"/>
      <c r="F29" s="18"/>
      <c r="G29" s="18"/>
      <c r="H29" s="22"/>
      <c r="I29" s="18"/>
      <c r="J29" s="18"/>
      <c r="K29" s="18"/>
      <c r="L29" s="18"/>
      <c r="M29" s="42"/>
    </row>
    <row r="30" spans="1:13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25">
      <c r="A31" s="42"/>
      <c r="B31" s="83" t="s">
        <v>20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42"/>
    </row>
    <row r="32" spans="1:13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25">
      <c r="A33" s="42"/>
      <c r="B33" s="42"/>
      <c r="C33" s="42"/>
      <c r="D33" s="42"/>
      <c r="E33" s="86" t="s">
        <v>21</v>
      </c>
      <c r="F33" s="42"/>
      <c r="G33" s="42"/>
      <c r="H33" s="42"/>
      <c r="I33" s="42"/>
      <c r="J33" s="42"/>
      <c r="K33" s="42"/>
      <c r="L33" s="42"/>
      <c r="M33" s="42"/>
    </row>
    <row r="34" spans="1:13" x14ac:dyDescent="0.25">
      <c r="A34" s="42"/>
      <c r="B34" s="42"/>
      <c r="C34" s="42"/>
      <c r="D34" s="42"/>
      <c r="E34" s="42"/>
      <c r="F34" s="87" t="s">
        <v>22</v>
      </c>
      <c r="G34" s="52" t="s">
        <v>231</v>
      </c>
      <c r="H34" s="88">
        <f>MEAV!H147</f>
        <v>0</v>
      </c>
      <c r="I34" s="42"/>
      <c r="J34" s="42"/>
      <c r="K34" s="42"/>
      <c r="L34" s="42"/>
      <c r="M34" s="42"/>
    </row>
    <row r="35" spans="1:13" x14ac:dyDescent="0.25">
      <c r="A35" s="42"/>
      <c r="B35" s="42"/>
      <c r="C35" s="42"/>
      <c r="D35" s="42"/>
      <c r="E35" s="42"/>
      <c r="F35" s="54" t="s">
        <v>23</v>
      </c>
      <c r="G35" s="53" t="s">
        <v>231</v>
      </c>
      <c r="H35" s="89">
        <f>Expenditure!H147</f>
        <v>0</v>
      </c>
      <c r="I35" s="42"/>
      <c r="J35" s="42"/>
      <c r="K35" s="42"/>
      <c r="L35" s="42"/>
      <c r="M35" s="42"/>
    </row>
    <row r="36" spans="1:13" x14ac:dyDescent="0.25">
      <c r="A36" s="42"/>
      <c r="B36" s="42"/>
      <c r="C36" s="42"/>
      <c r="D36" s="42"/>
      <c r="E36" s="42"/>
      <c r="F36" s="42" t="s">
        <v>311</v>
      </c>
      <c r="G36" s="53" t="s">
        <v>231</v>
      </c>
      <c r="H36" s="89">
        <f>Expensed!H87</f>
        <v>1</v>
      </c>
      <c r="I36" s="42"/>
      <c r="J36" s="42"/>
      <c r="K36" s="42"/>
      <c r="L36" s="42"/>
      <c r="M36" s="42"/>
    </row>
    <row r="37" spans="1:13" x14ac:dyDescent="0.25">
      <c r="A37" s="42"/>
      <c r="B37" s="42"/>
      <c r="C37" s="42"/>
      <c r="D37" s="42"/>
      <c r="E37" s="42"/>
      <c r="F37" s="54" t="s">
        <v>24</v>
      </c>
      <c r="G37" s="53" t="s">
        <v>231</v>
      </c>
      <c r="H37" s="89">
        <f>Capitalised!H67</f>
        <v>0</v>
      </c>
      <c r="I37" s="42"/>
      <c r="J37" s="42"/>
      <c r="K37" s="42"/>
      <c r="L37" s="42"/>
      <c r="M37" s="42"/>
    </row>
    <row r="38" spans="1:13" x14ac:dyDescent="0.25">
      <c r="A38" s="42"/>
      <c r="B38" s="42"/>
      <c r="C38" s="42"/>
      <c r="D38" s="42"/>
      <c r="E38" s="42"/>
      <c r="F38" s="54" t="s">
        <v>25</v>
      </c>
      <c r="G38" s="53" t="s">
        <v>231</v>
      </c>
      <c r="H38" s="89">
        <f>'Rev allocation'!H188</f>
        <v>0</v>
      </c>
      <c r="I38" s="42"/>
      <c r="J38" s="42"/>
      <c r="K38" s="42"/>
      <c r="L38" s="42"/>
      <c r="M38" s="42"/>
    </row>
    <row r="39" spans="1:13" x14ac:dyDescent="0.25">
      <c r="A39" s="42"/>
      <c r="B39" s="42"/>
      <c r="C39" s="42"/>
      <c r="D39" s="42"/>
      <c r="E39" s="42"/>
      <c r="F39" s="42" t="s">
        <v>312</v>
      </c>
      <c r="G39" s="53" t="s">
        <v>231</v>
      </c>
      <c r="H39" s="89">
        <f>Direct!H62</f>
        <v>0</v>
      </c>
      <c r="I39" s="42"/>
      <c r="J39" s="42"/>
      <c r="K39" s="42"/>
      <c r="L39" s="42"/>
      <c r="M39" s="42"/>
    </row>
    <row r="40" spans="1:13" x14ac:dyDescent="0.25">
      <c r="A40" s="42"/>
      <c r="B40" s="42"/>
      <c r="C40" s="42"/>
      <c r="D40" s="42"/>
      <c r="E40" s="42"/>
      <c r="F40" s="42" t="s">
        <v>313</v>
      </c>
      <c r="G40" s="53" t="s">
        <v>231</v>
      </c>
      <c r="H40" s="89">
        <f>'EDCM discounts'!H113</f>
        <v>0</v>
      </c>
      <c r="I40" s="42"/>
      <c r="J40" s="42"/>
      <c r="K40" s="42"/>
      <c r="L40" s="42"/>
      <c r="M40" s="42"/>
    </row>
    <row r="41" spans="1:13" x14ac:dyDescent="0.25">
      <c r="A41" s="42"/>
      <c r="B41" s="42"/>
      <c r="C41" s="42"/>
      <c r="D41" s="42"/>
      <c r="E41" s="42"/>
      <c r="F41" s="68" t="s">
        <v>26</v>
      </c>
      <c r="G41" s="68" t="s">
        <v>231</v>
      </c>
      <c r="H41" s="90">
        <f>'CDCM discounts'!H43</f>
        <v>0</v>
      </c>
      <c r="I41" s="42"/>
      <c r="J41" s="42"/>
      <c r="K41" s="42"/>
      <c r="L41" s="42"/>
      <c r="M41" s="42"/>
    </row>
    <row r="42" spans="1:13" s="1" customFormat="1" x14ac:dyDescent="0.25">
      <c r="A42" s="42"/>
      <c r="B42" s="42"/>
      <c r="C42" s="42"/>
      <c r="D42" s="42"/>
      <c r="E42" s="42"/>
      <c r="F42" s="91" t="s">
        <v>612</v>
      </c>
      <c r="G42" s="91" t="s">
        <v>231</v>
      </c>
      <c r="H42" s="92">
        <f>SUM(H34:H41)</f>
        <v>1</v>
      </c>
      <c r="I42" s="42"/>
      <c r="J42" s="42"/>
      <c r="K42" s="42"/>
      <c r="L42" s="42"/>
      <c r="M42" s="42"/>
    </row>
    <row r="43" spans="1:13" x14ac:dyDescent="0.25">
      <c r="A43" s="42"/>
      <c r="B43" s="42"/>
      <c r="C43" s="42"/>
      <c r="D43" s="42"/>
      <c r="E43" s="42"/>
      <c r="F43" s="54"/>
      <c r="G43" s="53"/>
      <c r="H43" s="53"/>
      <c r="I43" s="93"/>
      <c r="J43" s="93"/>
      <c r="K43" s="42"/>
      <c r="L43" s="42"/>
      <c r="M43" s="42"/>
    </row>
    <row r="44" spans="1:13" x14ac:dyDescent="0.25">
      <c r="A44" s="42"/>
      <c r="B44" s="83" t="s">
        <v>27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42"/>
    </row>
    <row r="45" spans="1:13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25">
      <c r="A46" s="42"/>
      <c r="B46" s="42"/>
      <c r="C46" s="42"/>
      <c r="D46" s="42"/>
      <c r="E46" s="42"/>
      <c r="F46" s="85" t="s">
        <v>28</v>
      </c>
      <c r="G46" s="42"/>
      <c r="H46" s="42"/>
      <c r="I46" s="42"/>
      <c r="J46" s="42"/>
      <c r="K46" s="42"/>
      <c r="L46" s="42"/>
      <c r="M46" s="42"/>
    </row>
    <row r="47" spans="1:13" x14ac:dyDescent="0.25">
      <c r="A47" s="42"/>
      <c r="B47" s="42"/>
      <c r="C47" s="42"/>
      <c r="D47" s="42"/>
      <c r="E47" s="42"/>
      <c r="F47" s="20" t="s">
        <v>19</v>
      </c>
      <c r="G47" s="42"/>
      <c r="H47" s="42"/>
      <c r="I47" s="42"/>
      <c r="J47" s="42"/>
      <c r="K47" s="42"/>
      <c r="L47" s="42"/>
      <c r="M47" s="42"/>
    </row>
    <row r="48" spans="1:13" s="1" customFormat="1" x14ac:dyDescent="0.25">
      <c r="A48" s="42"/>
      <c r="B48" s="42"/>
      <c r="C48" s="42"/>
      <c r="D48" s="42"/>
      <c r="E48" s="42"/>
      <c r="F48" s="20" t="s">
        <v>609</v>
      </c>
      <c r="G48" s="42"/>
      <c r="H48" s="42"/>
      <c r="I48" s="42"/>
      <c r="J48" s="42"/>
      <c r="K48" s="42"/>
      <c r="L48" s="42"/>
      <c r="M48" s="42"/>
    </row>
    <row r="49" spans="1:13" s="1" customFormat="1" x14ac:dyDescent="0.25">
      <c r="A49" s="42"/>
      <c r="B49" s="42"/>
      <c r="C49" s="42"/>
      <c r="D49" s="42"/>
      <c r="E49" s="42"/>
      <c r="F49" s="20" t="s">
        <v>728</v>
      </c>
      <c r="G49" s="42"/>
      <c r="H49" s="42"/>
      <c r="I49" s="42"/>
      <c r="J49" s="42"/>
      <c r="K49" s="42"/>
      <c r="L49" s="42"/>
      <c r="M49" s="42"/>
    </row>
    <row r="50" spans="1:13" s="1" customFormat="1" ht="30" x14ac:dyDescent="0.25">
      <c r="A50" s="42"/>
      <c r="B50" s="42"/>
      <c r="C50" s="42"/>
      <c r="D50" s="42"/>
      <c r="E50" s="42"/>
      <c r="F50" s="225" t="s">
        <v>753</v>
      </c>
      <c r="G50" s="42"/>
      <c r="H50" s="42"/>
      <c r="I50" s="42"/>
      <c r="J50" s="42"/>
      <c r="K50" s="42"/>
      <c r="L50" s="42"/>
      <c r="M50" s="42"/>
    </row>
    <row r="51" spans="1:13" s="1" customFormat="1" x14ac:dyDescent="0.25">
      <c r="A51" s="42"/>
      <c r="B51" s="42"/>
      <c r="C51" s="42"/>
      <c r="D51" s="42"/>
      <c r="E51" s="42"/>
      <c r="F51" s="20"/>
      <c r="G51" s="42"/>
      <c r="H51" s="42"/>
      <c r="I51" s="42"/>
      <c r="J51" s="42"/>
      <c r="K51" s="42"/>
      <c r="L51" s="42"/>
      <c r="M51" s="42"/>
    </row>
    <row r="52" spans="1:13" s="1" customFormat="1" x14ac:dyDescent="0.25">
      <c r="A52" s="42"/>
      <c r="B52" s="42"/>
      <c r="C52" s="42"/>
      <c r="D52" s="42"/>
      <c r="E52" s="42"/>
      <c r="F52" s="20"/>
      <c r="G52" s="42"/>
      <c r="H52" s="42"/>
      <c r="I52" s="42"/>
      <c r="J52" s="42"/>
      <c r="K52" s="42"/>
      <c r="L52" s="42"/>
      <c r="M52" s="42"/>
    </row>
    <row r="53" spans="1:13" s="1" customFormat="1" x14ac:dyDescent="0.25">
      <c r="A53" s="42"/>
      <c r="B53" s="42"/>
      <c r="C53" s="42"/>
      <c r="D53" s="42"/>
      <c r="E53" s="42"/>
      <c r="F53" s="20"/>
      <c r="G53" s="42"/>
      <c r="H53" s="42"/>
      <c r="I53" s="42"/>
      <c r="J53" s="42"/>
      <c r="K53" s="42"/>
      <c r="L53" s="42"/>
      <c r="M53" s="42"/>
    </row>
    <row r="54" spans="1:13" s="1" customFormat="1" x14ac:dyDescent="0.25">
      <c r="A54" s="42"/>
      <c r="B54" s="42"/>
      <c r="C54" s="42"/>
      <c r="D54" s="42"/>
      <c r="E54" s="42"/>
      <c r="F54" s="20"/>
      <c r="G54" s="42"/>
      <c r="H54" s="42"/>
      <c r="I54" s="42"/>
      <c r="J54" s="42"/>
      <c r="K54" s="42"/>
      <c r="L54" s="42"/>
      <c r="M54" s="42"/>
    </row>
    <row r="55" spans="1:13" s="1" customFormat="1" x14ac:dyDescent="0.25">
      <c r="A55" s="42"/>
      <c r="B55" s="42"/>
      <c r="C55" s="42"/>
      <c r="D55" s="42"/>
      <c r="E55" s="42"/>
      <c r="F55" s="20"/>
      <c r="G55" s="42"/>
      <c r="H55" s="42"/>
      <c r="I55" s="42"/>
      <c r="J55" s="42"/>
      <c r="K55" s="42"/>
      <c r="L55" s="42"/>
      <c r="M55" s="42"/>
    </row>
    <row r="56" spans="1:13" s="1" customFormat="1" x14ac:dyDescent="0.25">
      <c r="A56" s="42"/>
      <c r="B56" s="42"/>
      <c r="C56" s="42"/>
      <c r="D56" s="42"/>
      <c r="E56" s="42"/>
      <c r="F56" s="20"/>
      <c r="G56" s="42"/>
      <c r="H56" s="42"/>
      <c r="I56" s="42"/>
      <c r="J56" s="42"/>
      <c r="K56" s="42"/>
      <c r="L56" s="42"/>
      <c r="M56" s="42"/>
    </row>
    <row r="57" spans="1:13" x14ac:dyDescent="0.25">
      <c r="A57" s="42"/>
      <c r="B57" s="42"/>
      <c r="C57" s="42"/>
      <c r="D57" s="42"/>
      <c r="E57" s="42"/>
      <c r="F57" s="20" t="s">
        <v>29</v>
      </c>
      <c r="G57" s="42"/>
      <c r="H57" s="42"/>
      <c r="I57" s="42"/>
      <c r="J57" s="42"/>
      <c r="K57" s="42"/>
      <c r="L57" s="42"/>
      <c r="M57" s="42"/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25">
      <c r="A59" s="42"/>
      <c r="B59" s="83" t="s">
        <v>30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42"/>
    </row>
  </sheetData>
  <sheetProtection sheet="1" objects="1" formatCells="0" formatColumns="0" formatRows="0" sort="0" autoFilter="0"/>
  <conditionalFormatting sqref="H34">
    <cfRule type="cellIs" dxfId="51" priority="4" stopIfTrue="1" operator="greaterThan">
      <formula>0</formula>
    </cfRule>
  </conditionalFormatting>
  <conditionalFormatting sqref="H35">
    <cfRule type="cellIs" dxfId="50" priority="5" stopIfTrue="1" operator="greaterThan">
      <formula>0</formula>
    </cfRule>
  </conditionalFormatting>
  <conditionalFormatting sqref="H36">
    <cfRule type="cellIs" dxfId="49" priority="6" stopIfTrue="1" operator="greaterThan">
      <formula>0</formula>
    </cfRule>
  </conditionalFormatting>
  <conditionalFormatting sqref="H37">
    <cfRule type="cellIs" dxfId="48" priority="7" stopIfTrue="1" operator="greaterThan">
      <formula>0</formula>
    </cfRule>
  </conditionalFormatting>
  <conditionalFormatting sqref="H38">
    <cfRule type="cellIs" dxfId="47" priority="8" stopIfTrue="1" operator="greaterThan">
      <formula>0</formula>
    </cfRule>
  </conditionalFormatting>
  <conditionalFormatting sqref="H39">
    <cfRule type="cellIs" dxfId="46" priority="9" stopIfTrue="1" operator="greaterThan">
      <formula>0</formula>
    </cfRule>
  </conditionalFormatting>
  <conditionalFormatting sqref="H40">
    <cfRule type="cellIs" dxfId="45" priority="10" stopIfTrue="1" operator="greaterThan">
      <formula>0</formula>
    </cfRule>
  </conditionalFormatting>
  <conditionalFormatting sqref="H41">
    <cfRule type="cellIs" dxfId="44" priority="11" stopIfTrue="1" operator="greaterThan">
      <formula>0</formula>
    </cfRule>
  </conditionalFormatting>
  <conditionalFormatting sqref="A4:XFD4">
    <cfRule type="expression" dxfId="43" priority="3">
      <formula>LEFT($A$4,1) &lt;&gt; "0"</formula>
    </cfRule>
  </conditionalFormatting>
  <conditionalFormatting sqref="H42">
    <cfRule type="cellIs" dxfId="42" priority="2" stopIfTrue="1" operator="greaterThan">
      <formula>0</formula>
    </cfRule>
  </conditionalFormatting>
  <dataValidations count="3">
    <dataValidation type="date" operator="greaterThanOrEqual" allowBlank="1" showInputMessage="1" showErrorMessage="1" errorTitle="Model date" error="Input a date" promptTitle="Model date" prompt="Input a date" sqref="F20:F29">
      <formula1>1</formula1>
    </dataValidation>
    <dataValidation type="whole" operator="greaterThan" allowBlank="1" showInputMessage="1" showErrorMessage="1" errorTitle="Stage model version" error="A positive integer value has not been selected" promptTitle="Stage model version" prompt="Input must be an integer. The value should return to 1 when a new development stage is reached." sqref="H20:H29">
      <formula1>0</formula1>
    </dataValidation>
    <dataValidation type="list" allowBlank="1" showInputMessage="1" showErrorMessage="1" errorTitle="Development stage" error="Selection is not consistent with the list of options specified below" promptTitle="Development stage" prompt="Select from the list of options" sqref="G20:G29">
      <formula1>$F$47:$F$57</formula1>
    </dataValidation>
  </dataValidations>
  <hyperlinks>
    <hyperlink ref="A1" location="Index!A1" display="Index!A1"/>
    <hyperlink ref="F36" location="'Expensed'!A1" display="Expensed"/>
    <hyperlink ref="F39" location="'Direct'!A1" display="Direct"/>
  </hyperlinks>
  <pageMargins left="0.7" right="0.7" top="0.75" bottom="0.75" header="0.3" footer="0.3"/>
  <pageSetup paperSize="9" orientation="portrait" r:id="rId1"/>
  <cellWatches>
    <cellWatch r="H4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9C9C9"/>
  </sheetPr>
  <dimension ref="A1:I42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73.7109375" customWidth="1"/>
    <col min="7" max="7" width="2.7109375" customWidth="1"/>
    <col min="8" max="8" width="9.140625" hidden="1" customWidth="1"/>
    <col min="9" max="9" width="0" hidden="1" customWidth="1"/>
    <col min="10" max="16384" width="9.140625" hidden="1"/>
  </cols>
  <sheetData>
    <row r="1" spans="1:9" s="3" customFormat="1" x14ac:dyDescent="0.25">
      <c r="A1" s="94" t="str">
        <f ca="1">MID(CELL("filename",A1),FIND("]",CELL("filename",A1))+1,255)</f>
        <v>Model map</v>
      </c>
      <c r="B1" s="94"/>
      <c r="C1" s="94"/>
      <c r="D1" s="94"/>
      <c r="E1" s="94"/>
      <c r="F1" s="94"/>
      <c r="G1" s="94"/>
      <c r="H1" s="94"/>
      <c r="I1" s="94"/>
    </row>
    <row r="2" spans="1:9" s="3" customFormat="1" x14ac:dyDescent="0.25">
      <c r="A2" s="94" t="str">
        <f>Cover!D21&amp;" - "&amp;Cover!D23</f>
        <v>[Enter DNO name] - [enter data version name]</v>
      </c>
      <c r="B2" s="94"/>
      <c r="C2" s="94"/>
      <c r="D2" s="94"/>
      <c r="E2" s="94"/>
      <c r="F2" s="94"/>
      <c r="G2" s="94"/>
      <c r="H2" s="94"/>
      <c r="I2" s="94"/>
    </row>
    <row r="3" spans="1:9" s="4" customFormat="1" x14ac:dyDescent="0.25">
      <c r="A3" s="71" t="str">
        <f>Cover!D2&amp;" - "&amp;Cover!D8&amp;" v"&amp;Cover!D10&amp;" - "&amp;Cover!D19</f>
        <v>PCDM charging model - Release for charge setting v4 - 2021/22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25">
      <c r="A5" s="42"/>
      <c r="B5" s="83" t="s">
        <v>31</v>
      </c>
      <c r="C5" s="83"/>
      <c r="D5" s="83"/>
      <c r="E5" s="83"/>
      <c r="F5" s="83"/>
      <c r="G5" s="42"/>
      <c r="H5" s="42"/>
      <c r="I5" s="42"/>
    </row>
    <row r="6" spans="1:9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25">
      <c r="A7" s="42"/>
      <c r="B7" s="42"/>
      <c r="C7" s="42"/>
      <c r="D7" s="42"/>
      <c r="E7" s="42"/>
      <c r="F7" s="42" t="s">
        <v>308</v>
      </c>
      <c r="G7" s="42"/>
      <c r="H7" s="42"/>
      <c r="I7" s="42"/>
    </row>
    <row r="8" spans="1:9" x14ac:dyDescent="0.25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25">
      <c r="A9" s="42"/>
      <c r="B9" s="42"/>
      <c r="C9" s="42"/>
      <c r="D9" s="42"/>
      <c r="E9" s="42"/>
      <c r="F9" s="42"/>
      <c r="G9" s="42"/>
      <c r="H9" s="42"/>
      <c r="I9" s="42"/>
    </row>
    <row r="10" spans="1:9" x14ac:dyDescent="0.25">
      <c r="A10" s="42"/>
      <c r="B10" s="42"/>
      <c r="C10" s="42"/>
      <c r="D10" s="42"/>
      <c r="E10" s="42"/>
      <c r="F10" s="42"/>
      <c r="G10" s="42"/>
      <c r="H10" s="42"/>
      <c r="I10" s="42"/>
    </row>
    <row r="11" spans="1:9" x14ac:dyDescent="0.25">
      <c r="A11" s="42"/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s="42"/>
      <c r="B13" s="42"/>
      <c r="C13" s="42"/>
      <c r="D13" s="42"/>
      <c r="E13" s="42"/>
      <c r="F13" s="42"/>
      <c r="G13" s="42"/>
      <c r="H13" s="42"/>
      <c r="I13" s="42"/>
    </row>
    <row r="14" spans="1:9" x14ac:dyDescent="0.25">
      <c r="A14" s="42"/>
      <c r="B14" s="42"/>
      <c r="C14" s="42"/>
      <c r="D14" s="42"/>
      <c r="E14" s="42"/>
      <c r="F14" s="42"/>
      <c r="G14" s="42"/>
      <c r="H14" s="42"/>
      <c r="I14" s="42"/>
    </row>
    <row r="15" spans="1:9" x14ac:dyDescent="0.25">
      <c r="A15" s="42"/>
      <c r="B15" s="42"/>
      <c r="C15" s="42"/>
      <c r="D15" s="42"/>
      <c r="E15" s="42"/>
      <c r="F15" s="42"/>
      <c r="G15" s="42"/>
      <c r="H15" s="42"/>
      <c r="I15" s="42"/>
    </row>
    <row r="16" spans="1:9" x14ac:dyDescent="0.25">
      <c r="A16" s="42"/>
      <c r="B16" s="42"/>
      <c r="C16" s="42"/>
      <c r="D16" s="42"/>
      <c r="E16" s="42"/>
      <c r="F16" s="42"/>
      <c r="G16" s="42"/>
      <c r="H16" s="42"/>
      <c r="I16" s="42"/>
    </row>
    <row r="17" spans="1:9" x14ac:dyDescent="0.25">
      <c r="A17" s="42"/>
      <c r="B17" s="42"/>
      <c r="C17" s="42"/>
      <c r="D17" s="42"/>
      <c r="E17" s="42"/>
      <c r="F17" s="42"/>
      <c r="G17" s="42"/>
      <c r="H17" s="42"/>
      <c r="I17" s="42"/>
    </row>
    <row r="18" spans="1:9" x14ac:dyDescent="0.25">
      <c r="A18" s="42"/>
      <c r="B18" s="42"/>
      <c r="C18" s="42"/>
      <c r="D18" s="42"/>
      <c r="E18" s="42"/>
      <c r="F18" s="42"/>
      <c r="G18" s="42"/>
      <c r="H18" s="42"/>
      <c r="I18" s="42"/>
    </row>
    <row r="19" spans="1:9" x14ac:dyDescent="0.25">
      <c r="A19" s="42"/>
      <c r="B19" s="42"/>
      <c r="C19" s="42"/>
      <c r="D19" s="42"/>
      <c r="E19" s="42"/>
      <c r="F19" s="42"/>
      <c r="G19" s="42"/>
      <c r="H19" s="42"/>
      <c r="I19" s="42"/>
    </row>
    <row r="20" spans="1:9" x14ac:dyDescent="0.25">
      <c r="A20" s="42"/>
      <c r="B20" s="42"/>
      <c r="C20" s="42"/>
      <c r="D20" s="42"/>
      <c r="E20" s="42"/>
      <c r="F20" s="42"/>
      <c r="G20" s="42"/>
      <c r="H20" s="42"/>
      <c r="I20" s="42"/>
    </row>
    <row r="21" spans="1:9" x14ac:dyDescent="0.25">
      <c r="A21" s="42"/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s="42"/>
      <c r="B23" s="42"/>
      <c r="C23" s="42"/>
      <c r="D23" s="42"/>
      <c r="E23" s="42"/>
      <c r="F23" s="42"/>
      <c r="G23" s="42"/>
      <c r="H23" s="42"/>
      <c r="I23" s="42"/>
    </row>
    <row r="24" spans="1:9" x14ac:dyDescent="0.25">
      <c r="A24" s="42"/>
      <c r="B24" s="42"/>
      <c r="C24" s="42"/>
      <c r="D24" s="42"/>
      <c r="E24" s="42"/>
      <c r="F24" s="42"/>
      <c r="G24" s="42"/>
      <c r="H24" s="42"/>
      <c r="I24" s="42"/>
    </row>
    <row r="25" spans="1:9" x14ac:dyDescent="0.25">
      <c r="A25" s="42"/>
      <c r="B25" s="42"/>
      <c r="C25" s="42"/>
      <c r="D25" s="42"/>
      <c r="E25" s="42"/>
      <c r="F25" s="42"/>
      <c r="G25" s="42"/>
      <c r="H25" s="42"/>
      <c r="I25" s="42"/>
    </row>
    <row r="26" spans="1:9" x14ac:dyDescent="0.25">
      <c r="A26" s="42"/>
      <c r="B26" s="42"/>
      <c r="C26" s="42"/>
      <c r="D26" s="42"/>
      <c r="E26" s="42"/>
      <c r="F26" s="42"/>
      <c r="G26" s="42"/>
      <c r="H26" s="42"/>
      <c r="I26" s="42"/>
    </row>
    <row r="27" spans="1:9" x14ac:dyDescent="0.25">
      <c r="A27" s="42"/>
      <c r="B27" s="42"/>
      <c r="C27" s="42"/>
      <c r="D27" s="42"/>
      <c r="E27" s="42"/>
      <c r="F27" s="42"/>
      <c r="G27" s="42"/>
      <c r="H27" s="42"/>
      <c r="I27" s="42"/>
    </row>
    <row r="28" spans="1:9" x14ac:dyDescent="0.25">
      <c r="A28" s="42"/>
      <c r="B28" s="42"/>
      <c r="C28" s="42"/>
      <c r="D28" s="42"/>
      <c r="E28" s="42"/>
      <c r="F28" s="42"/>
      <c r="G28" s="42"/>
      <c r="H28" s="42"/>
      <c r="I28" s="42"/>
    </row>
    <row r="29" spans="1:9" x14ac:dyDescent="0.25">
      <c r="A29" s="42"/>
      <c r="B29" s="42"/>
      <c r="C29" s="42"/>
      <c r="D29" s="42"/>
      <c r="E29" s="42"/>
      <c r="F29" s="42"/>
      <c r="G29" s="42"/>
      <c r="H29" s="42"/>
      <c r="I29" s="42"/>
    </row>
    <row r="30" spans="1:9" x14ac:dyDescent="0.25">
      <c r="A30" s="42"/>
      <c r="B30" s="42"/>
      <c r="C30" s="42"/>
      <c r="D30" s="42"/>
      <c r="E30" s="42"/>
      <c r="F30" s="42"/>
      <c r="G30" s="42"/>
      <c r="H30" s="42"/>
      <c r="I30" s="42"/>
    </row>
    <row r="31" spans="1:9" x14ac:dyDescent="0.25">
      <c r="A31" s="42"/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s="42"/>
      <c r="B33" s="42"/>
      <c r="C33" s="42"/>
      <c r="D33" s="42"/>
      <c r="E33" s="42"/>
      <c r="F33" s="42"/>
      <c r="G33" s="42"/>
      <c r="H33" s="42"/>
      <c r="I33" s="42"/>
    </row>
    <row r="34" spans="1:9" x14ac:dyDescent="0.25">
      <c r="A34" s="42"/>
      <c r="B34" s="42"/>
      <c r="C34" s="42"/>
      <c r="D34" s="42"/>
      <c r="E34" s="42"/>
      <c r="F34" s="42"/>
      <c r="G34" s="42"/>
      <c r="H34" s="42"/>
      <c r="I34" s="42"/>
    </row>
    <row r="35" spans="1:9" x14ac:dyDescent="0.25">
      <c r="A35" s="42"/>
      <c r="B35" s="42"/>
      <c r="C35" s="42"/>
      <c r="D35" s="42"/>
      <c r="E35" s="42"/>
      <c r="F35" s="42"/>
      <c r="G35" s="42"/>
      <c r="H35" s="42"/>
      <c r="I35" s="42"/>
    </row>
    <row r="36" spans="1:9" x14ac:dyDescent="0.25">
      <c r="A36" s="42"/>
      <c r="B36" s="42"/>
      <c r="C36" s="42"/>
      <c r="D36" s="42"/>
      <c r="E36" s="42"/>
      <c r="F36" s="42"/>
      <c r="G36" s="42"/>
      <c r="H36" s="42"/>
      <c r="I36" s="42"/>
    </row>
    <row r="37" spans="1:9" x14ac:dyDescent="0.25">
      <c r="A37" s="42"/>
      <c r="B37" s="42"/>
      <c r="C37" s="42"/>
      <c r="D37" s="42"/>
      <c r="E37" s="42"/>
      <c r="F37" s="42"/>
      <c r="G37" s="42"/>
      <c r="H37" s="42"/>
      <c r="I37" s="42"/>
    </row>
    <row r="38" spans="1:9" x14ac:dyDescent="0.25">
      <c r="A38" s="42"/>
      <c r="B38" s="42"/>
      <c r="C38" s="42"/>
      <c r="D38" s="42"/>
      <c r="E38" s="42"/>
      <c r="F38" s="42"/>
      <c r="G38" s="42"/>
      <c r="H38" s="42"/>
      <c r="I38" s="42"/>
    </row>
    <row r="39" spans="1:9" x14ac:dyDescent="0.25">
      <c r="A39" s="42"/>
      <c r="B39" s="42"/>
      <c r="C39" s="42"/>
      <c r="D39" s="42"/>
      <c r="E39" s="42"/>
      <c r="F39" s="42"/>
      <c r="G39" s="42"/>
      <c r="H39" s="42"/>
      <c r="I39" s="42"/>
    </row>
    <row r="40" spans="1:9" x14ac:dyDescent="0.25">
      <c r="A40" s="42"/>
      <c r="B40" s="42"/>
      <c r="C40" s="42"/>
      <c r="D40" s="42"/>
      <c r="E40" s="42"/>
      <c r="F40" s="42"/>
      <c r="G40" s="42"/>
      <c r="H40" s="42"/>
      <c r="I40" s="42"/>
    </row>
    <row r="41" spans="1:9" x14ac:dyDescent="0.25">
      <c r="A41" s="42"/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83" t="s">
        <v>30</v>
      </c>
      <c r="C42" s="83"/>
      <c r="D42" s="83"/>
      <c r="E42" s="83"/>
      <c r="F42" s="83"/>
      <c r="G42" s="42"/>
      <c r="H42" s="42"/>
      <c r="I42" s="42"/>
    </row>
  </sheetData>
  <sheetProtection sheet="1" objects="1" formatCells="0" formatColumns="0" formatRows="0" sort="0" autoFilter="0"/>
  <hyperlinks>
    <hyperlink ref="A1" location="'Model map'!A1" display="'Model map'!A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9C9C9"/>
    <pageSetUpPr fitToPage="1"/>
  </sheetPr>
  <dimension ref="A1:H124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24.42578125" bestFit="1" customWidth="1"/>
    <col min="7" max="7" width="99.85546875" bestFit="1" customWidth="1"/>
    <col min="8" max="8" width="2.7109375" customWidth="1"/>
    <col min="9" max="16384" width="9.140625" hidden="1"/>
  </cols>
  <sheetData>
    <row r="1" spans="1:8" s="3" customFormat="1" x14ac:dyDescent="0.25">
      <c r="A1" s="70" t="str">
        <f ca="1">MID(CELL("filename",A1),FIND("]",CELL("filename",A1))+1,255)</f>
        <v>Index</v>
      </c>
      <c r="B1" s="70"/>
      <c r="C1" s="70"/>
      <c r="D1" s="70"/>
      <c r="E1" s="70"/>
      <c r="F1" s="70"/>
      <c r="G1" s="70"/>
      <c r="H1" s="70"/>
    </row>
    <row r="2" spans="1:8" s="3" customFormat="1" x14ac:dyDescent="0.25">
      <c r="A2" s="70" t="str">
        <f>Cover!D21&amp;" - "&amp;Cover!D23</f>
        <v>[Enter DNO name] - [enter data version name]</v>
      </c>
      <c r="B2" s="70"/>
      <c r="C2" s="70"/>
      <c r="D2" s="70"/>
      <c r="E2" s="70"/>
      <c r="F2" s="70"/>
      <c r="G2" s="70"/>
      <c r="H2" s="70"/>
    </row>
    <row r="3" spans="1:8" s="4" customFormat="1" x14ac:dyDescent="0.25">
      <c r="A3" s="71" t="str">
        <f>Cover!D2&amp;" - "&amp;Cover!D8&amp;" v"&amp;Cover!D10&amp;" - "&amp;Cover!D19</f>
        <v>PCDM charging model - Release for charge setting v4 - 2021/22</v>
      </c>
      <c r="B3" s="71"/>
      <c r="C3" s="71"/>
      <c r="D3" s="71"/>
      <c r="E3" s="71"/>
      <c r="F3" s="71"/>
      <c r="G3" s="71"/>
      <c r="H3" s="71"/>
    </row>
    <row r="5" spans="1:8" x14ac:dyDescent="0.25">
      <c r="B5" s="2" t="s">
        <v>7</v>
      </c>
      <c r="C5" s="2"/>
      <c r="D5" s="2"/>
      <c r="E5" s="2"/>
      <c r="F5" s="2"/>
      <c r="G5" s="2"/>
    </row>
    <row r="7" spans="1:8" x14ac:dyDescent="0.25">
      <c r="C7" s="5" t="s">
        <v>676</v>
      </c>
    </row>
    <row r="8" spans="1:8" x14ac:dyDescent="0.25">
      <c r="C8" s="5" t="s">
        <v>677</v>
      </c>
    </row>
    <row r="10" spans="1:8" x14ac:dyDescent="0.25">
      <c r="B10" s="2" t="s">
        <v>669</v>
      </c>
      <c r="C10" s="2"/>
      <c r="D10" s="2"/>
      <c r="E10" s="2"/>
      <c r="F10" s="2"/>
      <c r="G10" s="2"/>
    </row>
    <row r="12" spans="1:8" x14ac:dyDescent="0.25">
      <c r="C12" s="5" t="s">
        <v>484</v>
      </c>
    </row>
    <row r="14" spans="1:8" ht="15.75" thickBot="1" x14ac:dyDescent="0.3">
      <c r="F14" s="6" t="s">
        <v>342</v>
      </c>
      <c r="G14" s="15" t="s">
        <v>343</v>
      </c>
    </row>
    <row r="15" spans="1:8" ht="16.5" thickTop="1" thickBot="1" x14ac:dyDescent="0.3">
      <c r="F15" s="8" t="s">
        <v>306</v>
      </c>
    </row>
    <row r="16" spans="1:8" ht="15.75" thickTop="1" x14ac:dyDescent="0.25">
      <c r="F16" s="8" t="s">
        <v>307</v>
      </c>
      <c r="G16" s="7" t="str">
        <f>'Version control'!$B$5</f>
        <v>Model version</v>
      </c>
    </row>
    <row r="17" spans="6:7" x14ac:dyDescent="0.25">
      <c r="F17" s="9" t="s">
        <v>483</v>
      </c>
      <c r="G17" s="7" t="str">
        <f>'Version control'!$B$17</f>
        <v>Version log</v>
      </c>
    </row>
    <row r="18" spans="6:7" x14ac:dyDescent="0.25">
      <c r="F18" s="9" t="s">
        <v>483</v>
      </c>
      <c r="G18" s="7" t="str">
        <f>'Version control'!$B$31</f>
        <v>Model checks</v>
      </c>
    </row>
    <row r="19" spans="6:7" ht="15.75" thickBot="1" x14ac:dyDescent="0.3">
      <c r="F19" s="9" t="s">
        <v>483</v>
      </c>
      <c r="G19" s="7" t="str">
        <f>'Version control'!$B$44</f>
        <v>Version log lists</v>
      </c>
    </row>
    <row r="20" spans="6:7" ht="16.5" thickTop="1" thickBot="1" x14ac:dyDescent="0.3">
      <c r="F20" s="8" t="s">
        <v>308</v>
      </c>
      <c r="G20" s="7" t="str">
        <f>'Model map'!$B$5</f>
        <v>Map</v>
      </c>
    </row>
    <row r="21" spans="6:7" ht="15.75" thickTop="1" x14ac:dyDescent="0.25">
      <c r="F21" s="14" t="s">
        <v>309</v>
      </c>
      <c r="G21" s="7" t="str">
        <f>'Fixed inputs'!$B$11</f>
        <v>Universal values</v>
      </c>
    </row>
    <row r="22" spans="6:7" ht="15.75" thickBot="1" x14ac:dyDescent="0.3">
      <c r="F22" s="16" t="s">
        <v>483</v>
      </c>
      <c r="G22" s="7" t="str">
        <f>'Fixed inputs'!$B$19</f>
        <v>Inputs from DCUSA text</v>
      </c>
    </row>
    <row r="23" spans="6:7" ht="15.75" thickTop="1" x14ac:dyDescent="0.25">
      <c r="F23" s="14" t="s">
        <v>310</v>
      </c>
      <c r="G23" s="7" t="str">
        <f>'DNO inputs'!$B$11</f>
        <v>Nominated Calculation Agent inputs</v>
      </c>
    </row>
    <row r="24" spans="6:7" x14ac:dyDescent="0.25">
      <c r="F24" s="16" t="s">
        <v>483</v>
      </c>
      <c r="G24" s="7" t="str">
        <f>'DNO inputs'!$B$28</f>
        <v>Inputs from other charging models</v>
      </c>
    </row>
    <row r="25" spans="6:7" ht="15.75" thickBot="1" x14ac:dyDescent="0.3">
      <c r="F25" s="16" t="s">
        <v>483</v>
      </c>
      <c r="G25" s="7" t="str">
        <f>'DNO inputs'!$B$51</f>
        <v>Other DNO-specific inputs</v>
      </c>
    </row>
    <row r="26" spans="6:7" ht="15.75" thickTop="1" x14ac:dyDescent="0.25">
      <c r="F26" s="12" t="s">
        <v>22</v>
      </c>
      <c r="G26" s="7" t="str">
        <f>MEAV!$B$13</f>
        <v>MEAV</v>
      </c>
    </row>
    <row r="27" spans="6:7" ht="15.75" thickBot="1" x14ac:dyDescent="0.3">
      <c r="F27" s="13" t="s">
        <v>483</v>
      </c>
      <c r="G27" s="7" t="str">
        <f>MEAV!$B$99</f>
        <v>Adjusted MEAV</v>
      </c>
    </row>
    <row r="28" spans="6:7" ht="15.75" thickTop="1" x14ac:dyDescent="0.25">
      <c r="F28" s="12" t="s">
        <v>23</v>
      </c>
      <c r="G28" s="7" t="str">
        <f>Expenditure!$B$12</f>
        <v>Expenditure allocated based on RRP</v>
      </c>
    </row>
    <row r="29" spans="6:7" x14ac:dyDescent="0.25">
      <c r="F29" s="13" t="s">
        <v>483</v>
      </c>
      <c r="G29" s="7" t="str">
        <f>Expenditure!$B$53</f>
        <v>Expenditure allocated based on MEAV</v>
      </c>
    </row>
    <row r="30" spans="6:7" x14ac:dyDescent="0.25">
      <c r="F30" s="13" t="s">
        <v>483</v>
      </c>
      <c r="G30" s="7" t="str">
        <f>Expenditure!$B$103</f>
        <v>Allocation to LV Services</v>
      </c>
    </row>
    <row r="31" spans="6:7" ht="15.75" thickBot="1" x14ac:dyDescent="0.3">
      <c r="F31" s="13" t="s">
        <v>483</v>
      </c>
      <c r="G31" s="7" t="str">
        <f>Expenditure!$B$121</f>
        <v>Total expenditure allocated</v>
      </c>
    </row>
    <row r="32" spans="6:7" ht="16.5" thickTop="1" thickBot="1" x14ac:dyDescent="0.3">
      <c r="F32" s="12" t="s">
        <v>311</v>
      </c>
      <c r="G32" s="7" t="str">
        <f>Expensed!$B$13</f>
        <v>Expensed proportions</v>
      </c>
    </row>
    <row r="33" spans="2:7" ht="16.5" thickTop="1" thickBot="1" x14ac:dyDescent="0.3">
      <c r="F33" s="12" t="s">
        <v>24</v>
      </c>
      <c r="G33" s="7" t="str">
        <f>Capitalised!$B$13</f>
        <v>Capitalised proportions</v>
      </c>
    </row>
    <row r="34" spans="2:7" ht="15.75" thickTop="1" x14ac:dyDescent="0.25">
      <c r="F34" s="12" t="s">
        <v>25</v>
      </c>
      <c r="G34" s="7" t="str">
        <f>'Rev allocation'!$B$12</f>
        <v>Shares of allowed revenue by network level</v>
      </c>
    </row>
    <row r="35" spans="2:7" x14ac:dyDescent="0.25">
      <c r="F35" s="13" t="s">
        <v>483</v>
      </c>
      <c r="G35" s="7" t="str">
        <f>'Rev allocation'!$B$51</f>
        <v>Revenue by network level</v>
      </c>
    </row>
    <row r="36" spans="2:7" x14ac:dyDescent="0.25">
      <c r="F36" s="13" t="s">
        <v>483</v>
      </c>
      <c r="G36" s="7" t="str">
        <f>'Rev allocation'!$B$86</f>
        <v>Units flowing</v>
      </c>
    </row>
    <row r="37" spans="2:7" ht="15.75" thickBot="1" x14ac:dyDescent="0.3">
      <c r="F37" s="13" t="s">
        <v>483</v>
      </c>
      <c r="G37" s="7" t="str">
        <f>'Rev allocation'!$B$122</f>
        <v>Revenue per unit</v>
      </c>
    </row>
    <row r="38" spans="2:7" ht="16.5" thickTop="1" thickBot="1" x14ac:dyDescent="0.3">
      <c r="F38" s="12" t="s">
        <v>312</v>
      </c>
      <c r="G38" s="7" t="str">
        <f>Direct!$B$13</f>
        <v>Direct proportions</v>
      </c>
    </row>
    <row r="39" spans="2:7" ht="15.75" thickTop="1" x14ac:dyDescent="0.25">
      <c r="F39" s="12" t="s">
        <v>313</v>
      </c>
      <c r="G39" s="7" t="str">
        <f>'EDCM discounts'!$B$11</f>
        <v>Allocation percentages</v>
      </c>
    </row>
    <row r="40" spans="2:7" x14ac:dyDescent="0.25">
      <c r="F40" s="13" t="s">
        <v>483</v>
      </c>
      <c r="G40" s="7" t="str">
        <f>'EDCM discounts'!$B$27</f>
        <v>EDCM user discount components</v>
      </c>
    </row>
    <row r="41" spans="2:7" ht="15.75" thickBot="1" x14ac:dyDescent="0.3">
      <c r="F41" s="13" t="s">
        <v>483</v>
      </c>
      <c r="G41" s="7" t="str">
        <f>'EDCM discounts'!$B$87</f>
        <v>EDCM user discounts</v>
      </c>
    </row>
    <row r="42" spans="2:7" ht="16.5" thickTop="1" thickBot="1" x14ac:dyDescent="0.3">
      <c r="F42" s="12" t="s">
        <v>26</v>
      </c>
      <c r="G42" s="7" t="str">
        <f>'CDCM discounts'!$B$11</f>
        <v>CDCM user discounts</v>
      </c>
    </row>
    <row r="43" spans="2:7" ht="15.75" thickTop="1" x14ac:dyDescent="0.25">
      <c r="F43" s="10" t="s">
        <v>512</v>
      </c>
      <c r="G43" s="7" t="str">
        <f>'Output to other models'!$B$11</f>
        <v>DCUSA text outputs</v>
      </c>
    </row>
    <row r="45" spans="2:7" x14ac:dyDescent="0.25">
      <c r="B45" s="2" t="s">
        <v>670</v>
      </c>
      <c r="C45" s="2"/>
      <c r="D45" s="2"/>
      <c r="E45" s="2"/>
      <c r="F45" s="2"/>
      <c r="G45" s="2"/>
    </row>
    <row r="47" spans="2:7" x14ac:dyDescent="0.25">
      <c r="C47" s="5" t="s">
        <v>678</v>
      </c>
    </row>
    <row r="49" spans="6:7" ht="15.75" thickBot="1" x14ac:dyDescent="0.3">
      <c r="F49" s="6" t="s">
        <v>342</v>
      </c>
      <c r="G49" s="15" t="s">
        <v>343</v>
      </c>
    </row>
    <row r="50" spans="6:7" ht="15.75" thickTop="1" x14ac:dyDescent="0.25">
      <c r="F50" s="14" t="s">
        <v>309</v>
      </c>
      <c r="G50" s="7" t="str">
        <f>'Fixed inputs'!$C$15</f>
        <v>Input 401-A: Universal values</v>
      </c>
    </row>
    <row r="51" spans="6:7" x14ac:dyDescent="0.25">
      <c r="F51" s="16" t="s">
        <v>483</v>
      </c>
      <c r="G51" s="7" t="str">
        <f>'Fixed inputs'!$C$23</f>
        <v>Input 401-B: EDCM discount cap</v>
      </c>
    </row>
    <row r="52" spans="6:7" x14ac:dyDescent="0.25">
      <c r="F52" s="16" t="s">
        <v>483</v>
      </c>
      <c r="G52" s="7" t="str">
        <f>'Fixed inputs'!$C$29</f>
        <v>Input 401-C: Network length splits for EDCM</v>
      </c>
    </row>
    <row r="53" spans="6:7" x14ac:dyDescent="0.25">
      <c r="F53" s="16" t="s">
        <v>483</v>
      </c>
      <c r="G53" s="7" t="str">
        <f>'Fixed inputs'!$C$37</f>
        <v>Input 401-D: Allocation rules allocation key</v>
      </c>
    </row>
    <row r="54" spans="6:7" x14ac:dyDescent="0.25">
      <c r="F54" s="16" t="s">
        <v>483</v>
      </c>
      <c r="G54" s="7" t="str">
        <f>'Fixed inputs'!$C$89</f>
        <v>Input 401-E: Allocation rules percentage capitalised</v>
      </c>
    </row>
    <row r="55" spans="6:7" x14ac:dyDescent="0.25">
      <c r="F55" s="16" t="s">
        <v>483</v>
      </c>
      <c r="G55" s="7" t="str">
        <f>'Fixed inputs'!$C$130</f>
        <v>Input 401-F: Allocation rules direct cost indicator</v>
      </c>
    </row>
    <row r="56" spans="6:7" x14ac:dyDescent="0.25">
      <c r="F56" s="16" t="s">
        <v>483</v>
      </c>
      <c r="G56" s="7" t="str">
        <f>'Fixed inputs'!$C$175</f>
        <v>Input 401-G: Mapping of MEAV asset categories to network levels</v>
      </c>
    </row>
    <row r="57" spans="6:7" x14ac:dyDescent="0.25">
      <c r="F57" s="16" t="s">
        <v>483</v>
      </c>
      <c r="G57" s="7" t="str">
        <f>'Fixed inputs'!$C$273</f>
        <v>Input 401-H: Extended mapping of MEAV asset categories to network levels</v>
      </c>
    </row>
    <row r="58" spans="6:7" x14ac:dyDescent="0.25">
      <c r="F58" s="16" t="s">
        <v>483</v>
      </c>
      <c r="G58" s="7" t="str">
        <f>'Fixed inputs'!$C$372</f>
        <v>Input 401-I: Units distributed coefficient for the calculation of "U"</v>
      </c>
    </row>
    <row r="59" spans="6:7" x14ac:dyDescent="0.25">
      <c r="F59" s="16" t="s">
        <v>483</v>
      </c>
      <c r="G59" s="7" t="str">
        <f>'Fixed inputs'!$C$381</f>
        <v>Input 401-J: Losses coefficient for the calculation of adjustment factors for units distributed</v>
      </c>
    </row>
    <row r="60" spans="6:7" ht="15.75" thickBot="1" x14ac:dyDescent="0.3">
      <c r="F60" s="16" t="s">
        <v>483</v>
      </c>
      <c r="G60" s="7" t="str">
        <f>'Fixed inputs'!$C$390</f>
        <v>Input 401-K: Network levels included in the calculation of "S", by user type and network level</v>
      </c>
    </row>
    <row r="61" spans="6:7" ht="15.75" thickTop="1" x14ac:dyDescent="0.25">
      <c r="F61" s="14" t="s">
        <v>310</v>
      </c>
      <c r="G61" s="7" t="str">
        <f>'DNO inputs'!$C$15</f>
        <v>Input 402-A: LV mains split</v>
      </c>
    </row>
    <row r="62" spans="6:7" x14ac:dyDescent="0.25">
      <c r="F62" s="16" t="s">
        <v>483</v>
      </c>
      <c r="G62" s="7" t="str">
        <f>'DNO inputs'!$C$21</f>
        <v>Input 402-B: HV split</v>
      </c>
    </row>
    <row r="63" spans="6:7" x14ac:dyDescent="0.25">
      <c r="F63" s="16" t="s">
        <v>483</v>
      </c>
      <c r="G63" s="7" t="str">
        <f>'DNO inputs'!$C$32</f>
        <v>Input 402-C: CDCM notional asset values</v>
      </c>
    </row>
    <row r="64" spans="6:7" x14ac:dyDescent="0.25">
      <c r="F64" s="16" t="s">
        <v>483</v>
      </c>
      <c r="G64" s="7" t="str">
        <f>'DNO inputs'!$C$44</f>
        <v>Input 402-D: EDCM notional asset value</v>
      </c>
    </row>
    <row r="65" spans="6:7" x14ac:dyDescent="0.25">
      <c r="F65" s="16" t="s">
        <v>483</v>
      </c>
      <c r="G65" s="7" t="str">
        <f>'DNO inputs'!$C$55</f>
        <v>Input 402-E: MEAV asset count</v>
      </c>
    </row>
    <row r="66" spans="6:7" x14ac:dyDescent="0.25">
      <c r="F66" s="16" t="s">
        <v>483</v>
      </c>
      <c r="G66" s="7" t="str">
        <f>'DNO inputs'!$C$147</f>
        <v>Input 402-F: MEAV per unit</v>
      </c>
    </row>
    <row r="67" spans="6:7" x14ac:dyDescent="0.25">
      <c r="F67" s="16" t="s">
        <v>483</v>
      </c>
      <c r="G67" s="7" t="str">
        <f>'DNO inputs'!$C$238</f>
        <v>Input 402-G: 2007/08 RRP expenditure, by cost category</v>
      </c>
    </row>
    <row r="68" spans="6:7" x14ac:dyDescent="0.25">
      <c r="F68" s="16" t="s">
        <v>483</v>
      </c>
      <c r="G68" s="7" t="str">
        <f>'DNO inputs'!$C$279</f>
        <v>Input 402-H: 2007/08 RRP expenditure, by network level and cost category</v>
      </c>
    </row>
    <row r="69" spans="6:7" x14ac:dyDescent="0.25">
      <c r="F69" s="16" t="s">
        <v>483</v>
      </c>
      <c r="G69" s="7" t="str">
        <f>'DNO inputs'!$C$320</f>
        <v>Input 402-I: Adjusted 2007/08 load related new connections &amp; reinforcement (net of contributions)</v>
      </c>
    </row>
    <row r="70" spans="6:7" x14ac:dyDescent="0.25">
      <c r="F70" s="16" t="s">
        <v>483</v>
      </c>
      <c r="G70" s="7" t="str">
        <f>'DNO inputs'!$C$331</f>
        <v>Input 402-J: Net capex (2005/06 to 2014/15)</v>
      </c>
    </row>
    <row r="71" spans="6:7" x14ac:dyDescent="0.25">
      <c r="F71" s="16" t="s">
        <v>483</v>
      </c>
      <c r="G71" s="7" t="str">
        <f>'DNO inputs'!$C$343</f>
        <v>Input 402-K: LV services share of LV net capex</v>
      </c>
    </row>
    <row r="72" spans="6:7" x14ac:dyDescent="0.25">
      <c r="F72" s="16" t="s">
        <v>483</v>
      </c>
      <c r="G72" s="7" t="str">
        <f>'DNO inputs'!$C$350</f>
        <v>Input 402-L: Price control allowed revenue</v>
      </c>
    </row>
    <row r="73" spans="6:7" x14ac:dyDescent="0.25">
      <c r="F73" s="16" t="s">
        <v>483</v>
      </c>
      <c r="G73" s="7" t="str">
        <f>'DNO inputs'!$C$359</f>
        <v>Input 402-M: 2007/08 total allowed revenue</v>
      </c>
    </row>
    <row r="74" spans="6:7" x14ac:dyDescent="0.25">
      <c r="F74" s="16" t="s">
        <v>483</v>
      </c>
      <c r="G74" s="7" t="str">
        <f>'DNO inputs'!$C$365</f>
        <v>Input 402-N: 2007/08 net incentive revenue</v>
      </c>
    </row>
    <row r="75" spans="6:7" x14ac:dyDescent="0.25">
      <c r="F75" s="16" t="s">
        <v>483</v>
      </c>
      <c r="G75" s="7" t="str">
        <f>'DNO inputs'!$C$371</f>
        <v>Input 402-O: Additional DNO revenue</v>
      </c>
    </row>
    <row r="76" spans="6:7" x14ac:dyDescent="0.25">
      <c r="F76" s="16" t="s">
        <v>483</v>
      </c>
      <c r="G76" s="7" t="str">
        <f>'DNO inputs'!$C$378</f>
        <v>Input 402-P: 2007/08 units distributed, by network level</v>
      </c>
    </row>
    <row r="77" spans="6:7" ht="15.75" thickBot="1" x14ac:dyDescent="0.3">
      <c r="F77" s="16" t="s">
        <v>483</v>
      </c>
      <c r="G77" s="7" t="str">
        <f>'DNO inputs'!$C$387</f>
        <v>Input 402-Q: 2007/08 network losses</v>
      </c>
    </row>
    <row r="78" spans="6:7" ht="15.75" thickTop="1" x14ac:dyDescent="0.25">
      <c r="F78" s="12" t="s">
        <v>22</v>
      </c>
      <c r="G78" s="7" t="str">
        <f>MEAV!$C$18</f>
        <v>Section 401-A: MEAV by asset type</v>
      </c>
    </row>
    <row r="79" spans="6:7" x14ac:dyDescent="0.25">
      <c r="F79" s="13" t="s">
        <v>483</v>
      </c>
      <c r="G79" s="7" t="str">
        <f>MEAV!$C$27</f>
        <v>Section 401-B: Mapping of asset types to network levels</v>
      </c>
    </row>
    <row r="80" spans="6:7" x14ac:dyDescent="0.25">
      <c r="F80" s="13" t="s">
        <v>483</v>
      </c>
      <c r="G80" s="7" t="str">
        <f>MEAV!$C$49</f>
        <v>Section 401-C: MEAV shares, by asset type and network level</v>
      </c>
    </row>
    <row r="81" spans="6:7" x14ac:dyDescent="0.25">
      <c r="F81" s="13" t="s">
        <v>483</v>
      </c>
      <c r="G81" s="7" t="str">
        <f>MEAV!$C$80</f>
        <v>Section 401-D: MEAV shares from extended mapping, by asset type and network level</v>
      </c>
    </row>
    <row r="82" spans="6:7" x14ac:dyDescent="0.25">
      <c r="F82" s="13" t="s">
        <v>483</v>
      </c>
      <c r="G82" s="7" t="str">
        <f>MEAV!$C$103</f>
        <v>Section 401-E: EHV reduction ratio</v>
      </c>
    </row>
    <row r="83" spans="6:7" ht="15.75" thickBot="1" x14ac:dyDescent="0.3">
      <c r="F83" s="13" t="s">
        <v>483</v>
      </c>
      <c r="G83" s="7" t="str">
        <f>MEAV!$C$122</f>
        <v>Section 401-F: Adjusted MEAV</v>
      </c>
    </row>
    <row r="84" spans="6:7" ht="15.75" thickTop="1" x14ac:dyDescent="0.25">
      <c r="F84" s="12" t="s">
        <v>23</v>
      </c>
      <c r="G84" s="7" t="str">
        <f>Expenditure!$C$16</f>
        <v>Section 402-A: Expenditure allocated to cost category based on RRP (without LV split)</v>
      </c>
    </row>
    <row r="85" spans="6:7" x14ac:dyDescent="0.25">
      <c r="F85" s="13" t="s">
        <v>483</v>
      </c>
      <c r="G85" s="7" t="str">
        <f>Expenditure!$C$36</f>
        <v>Section 402-B: Expenditure allocated to cost category based on RRP (with LV split)</v>
      </c>
    </row>
    <row r="86" spans="6:7" x14ac:dyDescent="0.25">
      <c r="F86" s="13" t="s">
        <v>483</v>
      </c>
      <c r="G86" s="7" t="str">
        <f>Expenditure!$C$58</f>
        <v>Section 402-C: Expenditure for allocation based on MEAV</v>
      </c>
    </row>
    <row r="87" spans="6:7" x14ac:dyDescent="0.25">
      <c r="F87" s="13" t="s">
        <v>483</v>
      </c>
      <c r="G87" s="7" t="str">
        <f>Expenditure!$C$71</f>
        <v>Section 402-D: MEAV allocation shares</v>
      </c>
    </row>
    <row r="88" spans="6:7" x14ac:dyDescent="0.25">
      <c r="F88" s="13" t="s">
        <v>483</v>
      </c>
      <c r="G88" s="7" t="str">
        <f>Expenditure!$C$87</f>
        <v>Section 402-E: Expenditure allocated based on MEAV</v>
      </c>
    </row>
    <row r="89" spans="6:7" x14ac:dyDescent="0.25">
      <c r="F89" s="13" t="s">
        <v>483</v>
      </c>
      <c r="G89" s="7" t="str">
        <f>Expenditure!$C$107</f>
        <v>Section 402-F: Expenditure allocated to LV Services</v>
      </c>
    </row>
    <row r="90" spans="6:7" ht="15.75" thickBot="1" x14ac:dyDescent="0.3">
      <c r="F90" s="13" t="s">
        <v>483</v>
      </c>
      <c r="G90" s="7" t="str">
        <f>Expenditure!$C$126</f>
        <v>Section 402-G: Total expenditure allocated for discounts</v>
      </c>
    </row>
    <row r="91" spans="6:7" ht="15.75" thickTop="1" x14ac:dyDescent="0.25">
      <c r="F91" s="12" t="s">
        <v>311</v>
      </c>
      <c r="G91" s="7" t="str">
        <f>Expensed!$C$18</f>
        <v>Section 403-A: Total expenditure allocated</v>
      </c>
    </row>
    <row r="92" spans="6:7" x14ac:dyDescent="0.25">
      <c r="F92" s="13" t="s">
        <v>483</v>
      </c>
      <c r="G92" s="7" t="str">
        <f>Expensed!$C$34</f>
        <v>Section 403-B: Share expensed</v>
      </c>
    </row>
    <row r="93" spans="6:7" x14ac:dyDescent="0.25">
      <c r="F93" s="13" t="s">
        <v>483</v>
      </c>
      <c r="G93" s="7" t="str">
        <f>Expensed!$C$40</f>
        <v>Section 403-C: Value expensed</v>
      </c>
    </row>
    <row r="94" spans="6:7" ht="15.75" thickBot="1" x14ac:dyDescent="0.3">
      <c r="F94" s="13" t="s">
        <v>483</v>
      </c>
      <c r="G94" s="7" t="str">
        <f>Expensed!$C$65</f>
        <v>Section 403-D: Expensed proportions</v>
      </c>
    </row>
    <row r="95" spans="6:7" ht="15.75" thickTop="1" x14ac:dyDescent="0.25">
      <c r="F95" s="12" t="s">
        <v>24</v>
      </c>
      <c r="G95" s="7" t="str">
        <f>Capitalised!$C$18</f>
        <v>Section 404-A: Net capex (2005/06 to 2014/15)</v>
      </c>
    </row>
    <row r="96" spans="6:7" x14ac:dyDescent="0.25">
      <c r="F96" s="13" t="s">
        <v>483</v>
      </c>
      <c r="G96" s="7" t="str">
        <f>Capitalised!$C$27</f>
        <v>Section 404-B: Capitalised proportions (EDCM)</v>
      </c>
    </row>
    <row r="97" spans="6:7" ht="15.75" thickBot="1" x14ac:dyDescent="0.3">
      <c r="F97" s="13" t="s">
        <v>483</v>
      </c>
      <c r="G97" s="7" t="str">
        <f>Capitalised!$C$47</f>
        <v>Section 404-C: Capitalised proportions (CDCM)</v>
      </c>
    </row>
    <row r="98" spans="6:7" ht="15.75" thickTop="1" x14ac:dyDescent="0.25">
      <c r="F98" s="12" t="s">
        <v>25</v>
      </c>
      <c r="G98" s="7" t="str">
        <f>'Rev allocation'!$C$16</f>
        <v>Section 405-A: Breakdown of allowed revenue</v>
      </c>
    </row>
    <row r="99" spans="6:7" x14ac:dyDescent="0.25">
      <c r="F99" s="13" t="s">
        <v>483</v>
      </c>
      <c r="G99" s="7" t="str">
        <f>'Rev allocation'!$C$31</f>
        <v>Section 405-B: Share of allowed revenue by network level (EDCM)</v>
      </c>
    </row>
    <row r="100" spans="6:7" x14ac:dyDescent="0.25">
      <c r="F100" s="13" t="s">
        <v>483</v>
      </c>
      <c r="G100" s="7" t="str">
        <f>'Rev allocation'!$C$41</f>
        <v>Section 405-C: Share of allowed revenue by network level (CDCM)</v>
      </c>
    </row>
    <row r="101" spans="6:7" x14ac:dyDescent="0.25">
      <c r="F101" s="13" t="s">
        <v>483</v>
      </c>
      <c r="G101" s="7" t="str">
        <f>'Rev allocation'!$C$56</f>
        <v>Section 405-D: Revenue to share</v>
      </c>
    </row>
    <row r="102" spans="6:7" x14ac:dyDescent="0.25">
      <c r="F102" s="13" t="s">
        <v>483</v>
      </c>
      <c r="G102" s="7" t="str">
        <f>'Rev allocation'!$C$72</f>
        <v>Section 405-E: Additional DNO revenue shares</v>
      </c>
    </row>
    <row r="103" spans="6:7" x14ac:dyDescent="0.25">
      <c r="F103" s="13" t="s">
        <v>483</v>
      </c>
      <c r="G103" s="7" t="str">
        <f>'Rev allocation'!$C$80</f>
        <v>Section 405-F: Revenue allocation</v>
      </c>
    </row>
    <row r="104" spans="6:7" x14ac:dyDescent="0.25">
      <c r="F104" s="13" t="s">
        <v>483</v>
      </c>
      <c r="G104" s="7" t="str">
        <f>'Rev allocation'!$C$90</f>
        <v>Section 405-G: Revenue allocation</v>
      </c>
    </row>
    <row r="105" spans="6:7" x14ac:dyDescent="0.25">
      <c r="F105" s="13" t="s">
        <v>483</v>
      </c>
      <c r="G105" s="7" t="str">
        <f>'Rev allocation'!$C$126</f>
        <v>Section 405-H: Revenue per unit</v>
      </c>
    </row>
    <row r="106" spans="6:7" x14ac:dyDescent="0.25">
      <c r="F106" s="13" t="s">
        <v>483</v>
      </c>
      <c r="G106" s="7" t="str">
        <f>'Rev allocation'!$C$142</f>
        <v>Section 405-I: Shares of revenue per unit</v>
      </c>
    </row>
    <row r="107" spans="6:7" x14ac:dyDescent="0.25">
      <c r="F107" s="13" t="s">
        <v>483</v>
      </c>
      <c r="G107" s="7" t="str">
        <f>'Rev allocation'!$C$156</f>
        <v>Section 405-J: U</v>
      </c>
    </row>
    <row r="108" spans="6:7" ht="15.75" thickBot="1" x14ac:dyDescent="0.3">
      <c r="F108" s="13" t="s">
        <v>483</v>
      </c>
      <c r="G108" s="7" t="str">
        <f>'Rev allocation'!$C$160</f>
        <v>Section 405-K: Extended network level allocation (EDCM only)</v>
      </c>
    </row>
    <row r="109" spans="6:7" ht="15.75" thickTop="1" x14ac:dyDescent="0.25">
      <c r="F109" s="12" t="s">
        <v>312</v>
      </c>
      <c r="G109" s="7" t="str">
        <f>Direct!$C$18</f>
        <v>Section 406-A: Removal of negative expenditure</v>
      </c>
    </row>
    <row r="110" spans="6:7" ht="15.75" thickBot="1" x14ac:dyDescent="0.3">
      <c r="F110" s="13" t="s">
        <v>483</v>
      </c>
      <c r="G110" s="7" t="str">
        <f>Direct!$C$32</f>
        <v>Section 406-B: Direct share of positive expenditure</v>
      </c>
    </row>
    <row r="111" spans="6:7" ht="15.75" thickTop="1" x14ac:dyDescent="0.25">
      <c r="F111" s="12" t="s">
        <v>313</v>
      </c>
      <c r="G111" s="7" t="str">
        <f>'EDCM discounts'!$C$16</f>
        <v>Section 407-A: Allocation percentages</v>
      </c>
    </row>
    <row r="112" spans="6:7" x14ac:dyDescent="0.25">
      <c r="F112" s="13" t="s">
        <v>483</v>
      </c>
      <c r="G112" s="7" t="str">
        <f>'EDCM discounts'!$C$32</f>
        <v>Section 407-B: S</v>
      </c>
    </row>
    <row r="113" spans="2:7" x14ac:dyDescent="0.25">
      <c r="F113" s="13" t="s">
        <v>483</v>
      </c>
      <c r="G113" s="7" t="str">
        <f>'EDCM discounts'!$C$50</f>
        <v>Section 407-C: P</v>
      </c>
    </row>
    <row r="114" spans="2:7" x14ac:dyDescent="0.25">
      <c r="F114" s="13" t="s">
        <v>483</v>
      </c>
      <c r="G114" s="7" t="str">
        <f>'EDCM discounts'!$C$62</f>
        <v>Section 407-D: P adder</v>
      </c>
    </row>
    <row r="115" spans="2:7" x14ac:dyDescent="0.25">
      <c r="F115" s="13" t="s">
        <v>483</v>
      </c>
      <c r="G115" s="7" t="str">
        <f>'EDCM discounts'!$C$79</f>
        <v>Section 407-E: U</v>
      </c>
    </row>
    <row r="116" spans="2:7" x14ac:dyDescent="0.25">
      <c r="F116" s="13" t="s">
        <v>483</v>
      </c>
      <c r="G116" s="7" t="str">
        <f>'EDCM discounts'!$C$91</f>
        <v>Section 407-F: EDCM user discounts (before cap)</v>
      </c>
    </row>
    <row r="117" spans="2:7" ht="15.75" thickBot="1" x14ac:dyDescent="0.3">
      <c r="F117" s="13" t="s">
        <v>483</v>
      </c>
      <c r="G117" s="7" t="str">
        <f>'EDCM discounts'!$C$100</f>
        <v>Section 407-G: EDCM user discounts</v>
      </c>
    </row>
    <row r="118" spans="2:7" ht="15.75" thickTop="1" x14ac:dyDescent="0.25">
      <c r="F118" s="12" t="s">
        <v>26</v>
      </c>
      <c r="G118" s="7" t="str">
        <f>'CDCM discounts'!$C$15</f>
        <v>Section 408-A: Allocation percentages</v>
      </c>
    </row>
    <row r="119" spans="2:7" x14ac:dyDescent="0.25">
      <c r="F119" s="13" t="s">
        <v>483</v>
      </c>
      <c r="G119" s="7" t="str">
        <f>'CDCM discounts'!$C$25</f>
        <v>Section 408-B: Parameters for splitting allocations at circuits levels</v>
      </c>
    </row>
    <row r="120" spans="2:7" ht="15.75" thickBot="1" x14ac:dyDescent="0.3">
      <c r="F120" s="13" t="s">
        <v>483</v>
      </c>
      <c r="G120" s="7" t="str">
        <f>'CDCM discounts'!$C$33</f>
        <v>Section 408-C: PCDM user discounts for CDCM</v>
      </c>
    </row>
    <row r="121" spans="2:7" ht="15.75" thickTop="1" x14ac:dyDescent="0.25">
      <c r="F121" s="10" t="s">
        <v>512</v>
      </c>
      <c r="G121" s="7" t="str">
        <f>'Output to other models'!$C$15</f>
        <v>Output 401-A: PCDM user discount for CDCM</v>
      </c>
    </row>
    <row r="122" spans="2:7" x14ac:dyDescent="0.25">
      <c r="F122" s="11" t="s">
        <v>483</v>
      </c>
      <c r="G122" s="7" t="str">
        <f>'Output to other models'!$C$25</f>
        <v>Output 401-B: PCDM user discount for EDCM</v>
      </c>
    </row>
    <row r="124" spans="2:7" x14ac:dyDescent="0.25">
      <c r="B124" s="2" t="s">
        <v>30</v>
      </c>
      <c r="C124" s="2"/>
      <c r="D124" s="2"/>
      <c r="E124" s="2"/>
      <c r="F124" s="2"/>
      <c r="G124" s="2"/>
    </row>
  </sheetData>
  <sheetProtection sheet="1" objects="1" formatCells="0" formatColumns="0" formatRows="0" sort="0" autoFilter="0"/>
  <hyperlinks>
    <hyperlink ref="F15" location="'Cover'!A4" display="'"/>
    <hyperlink ref="F16" location="'Version control'!A4" display="'"/>
    <hyperlink ref="G16" location="'Version control'!$B$5" display="'Version control'!$B$5"/>
    <hyperlink ref="F17" location="'Version control'!A4" display="'"/>
    <hyperlink ref="G17" location="'Version control'!$B$17" display="'Version control'!$B$17"/>
    <hyperlink ref="F18" location="'Version control'!A4" display="'"/>
    <hyperlink ref="G18" location="'Version control'!$B$31" display="'Version control'!$B$31"/>
    <hyperlink ref="F19" location="'Version control'!A4" display="'"/>
    <hyperlink ref="G19" location="'Version control'!$B$44" display="'Version control'!$B$44"/>
    <hyperlink ref="F20" location="'Model map'!A4" display="'"/>
    <hyperlink ref="G20" location="'Model map'!$B$5" display="'Model map'!$B$5"/>
    <hyperlink ref="F21" location="'Fixed inputs'!A4" display="'"/>
    <hyperlink ref="G21" location="'Fixed inputs'!$B$11" display="'Fixed inputs'!$B$11"/>
    <hyperlink ref="F22" location="'Fixed inputs'!A4" display="'"/>
    <hyperlink ref="G22" location="'Fixed inputs'!$B$19" display="'Fixed inputs'!$B$19"/>
    <hyperlink ref="F23" location="'DNO inputs'!A4" display="'"/>
    <hyperlink ref="G23" location="'DNO inputs'!$B$11" display="'DNO inputs'!$B$11"/>
    <hyperlink ref="F24" location="'DNO inputs'!A4" display="'"/>
    <hyperlink ref="G24" location="'DNO inputs'!$B$28" display="'DNO inputs'!$B$28"/>
    <hyperlink ref="F25" location="'DNO inputs'!A4" display="'"/>
    <hyperlink ref="G25" location="'DNO inputs'!$B$51" display="'DNO inputs'!$B$51"/>
    <hyperlink ref="F26" location="'MEAV'!A4" display="'"/>
    <hyperlink ref="G26" location="'MEAV'!$B$13" display="'MEAV'!$B$13"/>
    <hyperlink ref="F27" location="'MEAV'!A4" display="'"/>
    <hyperlink ref="G27" location="'MEAV'!$B$99" display="'MEAV'!$B$99"/>
    <hyperlink ref="F28" location="'Expenditure'!A4" display="'"/>
    <hyperlink ref="G28" location="'Expenditure'!$B$12" display="'Expenditure'!$B$12"/>
    <hyperlink ref="F29" location="'Expenditure'!A4" display="'"/>
    <hyperlink ref="G29" location="'Expenditure'!$B$53" display="'Expenditure'!$B$53"/>
    <hyperlink ref="F30" location="'Expenditure'!A4" display="'"/>
    <hyperlink ref="G30" location="'Expenditure'!$B$103" display="'Expenditure'!$B$103"/>
    <hyperlink ref="F31" location="'Expenditure'!A4" display="'"/>
    <hyperlink ref="G31" location="'Expenditure'!$B$121" display="'Expenditure'!$B$121"/>
    <hyperlink ref="F32" location="'Expensed'!A4" display="'"/>
    <hyperlink ref="G32" location="'Expensed'!$B$13" display="'Expensed'!$B$13"/>
    <hyperlink ref="F33" location="'Capitalised'!A4" display="'"/>
    <hyperlink ref="G33" location="'Capitalised'!$B$13" display="'Capitalised'!$B$13"/>
    <hyperlink ref="F34" location="'Rev allocation'!A4" display="'"/>
    <hyperlink ref="G34" location="'Rev allocation'!$B$12" display="'Rev allocation'!$B$12"/>
    <hyperlink ref="F35" location="'Rev allocation'!A4" display="'"/>
    <hyperlink ref="G35" location="'Rev allocation'!$B$51" display="'Rev allocation'!$B$51"/>
    <hyperlink ref="F36" location="'Rev allocation'!A4" display="'"/>
    <hyperlink ref="G36" location="'Rev allocation'!$B$86" display="'Rev allocation'!$B$86"/>
    <hyperlink ref="F37" location="'Rev allocation'!A4" display="'"/>
    <hyperlink ref="G37" location="'Rev allocation'!$B$122" display="'Rev allocation'!$B$122"/>
    <hyperlink ref="F38" location="'Direct'!A4" display="'"/>
    <hyperlink ref="G38" location="'Direct'!$B$13" display="'Direct'!$B$13"/>
    <hyperlink ref="F39" location="'EDCM discounts'!A4" display="'"/>
    <hyperlink ref="G39" location="'EDCM discounts'!$B$11" display="'EDCM discounts'!$B$11"/>
    <hyperlink ref="F40" location="'EDCM discounts'!A4" display="'"/>
    <hyperlink ref="G40" location="'EDCM discounts'!$B$27" display="'EDCM discounts'!$B$27"/>
    <hyperlink ref="F41" location="'EDCM discounts'!A4" display="'"/>
    <hyperlink ref="G41" location="'EDCM discounts'!$B$87" display="'EDCM discounts'!$B$87"/>
    <hyperlink ref="F42" location="'CDCM discounts'!A4" display="'"/>
    <hyperlink ref="G42" location="'CDCM discounts'!$B$11" display="'CDCM discounts'!$B$11"/>
    <hyperlink ref="F43" location="'Output to other models'!A4" display="'"/>
    <hyperlink ref="G43" location="'Output to other models'!$B$11" display="'Output to other models'!$B$11"/>
    <hyperlink ref="F50" location="'Fixed inputs'!A4" display="'"/>
    <hyperlink ref="G50" location="'Fixed inputs'!$C$15" display="'Fixed inputs'!$C$15"/>
    <hyperlink ref="F51" location="'Fixed inputs'!A4" display="'"/>
    <hyperlink ref="G51" location="'Fixed inputs'!$C$23" display="'Fixed inputs'!$C$23"/>
    <hyperlink ref="F52" location="'Fixed inputs'!A4" display="'"/>
    <hyperlink ref="G52" location="'Fixed inputs'!$C$29" display="'Fixed inputs'!$C$29"/>
    <hyperlink ref="F53" location="'Fixed inputs'!A4" display="'"/>
    <hyperlink ref="G53" location="'Fixed inputs'!$C$37" display="'Fixed inputs'!$C$37"/>
    <hyperlink ref="F54" location="'Fixed inputs'!A4" display="'"/>
    <hyperlink ref="G54" location="'Fixed inputs'!$C$89" display="'Fixed inputs'!$C$89"/>
    <hyperlink ref="F55" location="'Fixed inputs'!A4" display="'"/>
    <hyperlink ref="G55" location="'Fixed inputs'!$C$130" display="'Fixed inputs'!$C$130"/>
    <hyperlink ref="F56" location="'Fixed inputs'!A4" display="'"/>
    <hyperlink ref="G56" location="'Fixed inputs'!$C$175" display="'Fixed inputs'!$C$175"/>
    <hyperlink ref="F57" location="'Fixed inputs'!A4" display="'"/>
    <hyperlink ref="G57" location="'Fixed inputs'!$C$273" display="'Fixed inputs'!$C$273"/>
    <hyperlink ref="F58" location="'Fixed inputs'!A4" display="'"/>
    <hyperlink ref="G58" location="'Fixed inputs'!$C$372" display="'Fixed inputs'!$C$372"/>
    <hyperlink ref="F59" location="'Fixed inputs'!A4" display="'"/>
    <hyperlink ref="G59" location="'Fixed inputs'!$C$381" display="'Fixed inputs'!$C$381"/>
    <hyperlink ref="F60" location="'Fixed inputs'!A4" display="'"/>
    <hyperlink ref="G60" location="'Fixed inputs'!$C$390" display="'Fixed inputs'!$C$390"/>
    <hyperlink ref="F61" location="'DNO inputs'!A4" display="'"/>
    <hyperlink ref="G61" location="'DNO inputs'!$C$15" display="'DNO inputs'!$C$15"/>
    <hyperlink ref="F62" location="'DNO inputs'!A4" display="'"/>
    <hyperlink ref="G62" location="'DNO inputs'!$C$21" display="'DNO inputs'!$C$21"/>
    <hyperlink ref="F63" location="'DNO inputs'!A4" display="'"/>
    <hyperlink ref="G63" location="'DNO inputs'!$C$32" display="'DNO inputs'!$C$32"/>
    <hyperlink ref="F64" location="'DNO inputs'!A4" display="'"/>
    <hyperlink ref="G64" location="'DNO inputs'!$C$44" display="'DNO inputs'!$C$44"/>
    <hyperlink ref="F65" location="'DNO inputs'!A4" display="'"/>
    <hyperlink ref="G65" location="'DNO inputs'!$C$55" display="'DNO inputs'!$C$55"/>
    <hyperlink ref="F66" location="'DNO inputs'!A4" display="'"/>
    <hyperlink ref="G66" location="'DNO inputs'!$C$147" display="'DNO inputs'!$C$147"/>
    <hyperlink ref="F67" location="'DNO inputs'!A4" display="'"/>
    <hyperlink ref="G67" location="'DNO inputs'!$C$238" display="'DNO inputs'!$C$238"/>
    <hyperlink ref="F68" location="'DNO inputs'!A4" display="'"/>
    <hyperlink ref="G68" location="'DNO inputs'!$C$279" display="'DNO inputs'!$C$279"/>
    <hyperlink ref="F69" location="'DNO inputs'!A4" display="'"/>
    <hyperlink ref="G69" location="'DNO inputs'!$C$320" display="'DNO inputs'!$C$320"/>
    <hyperlink ref="F70" location="'DNO inputs'!A4" display="'"/>
    <hyperlink ref="G70" location="'DNO inputs'!$C$331" display="'DNO inputs'!$C$331"/>
    <hyperlink ref="F71" location="'DNO inputs'!A4" display="'"/>
    <hyperlink ref="G71" location="'DNO inputs'!$C$343" display="'DNO inputs'!$C$343"/>
    <hyperlink ref="F72" location="'DNO inputs'!A4" display="'"/>
    <hyperlink ref="G72" location="'DNO inputs'!$C$350" display="'DNO inputs'!$C$350"/>
    <hyperlink ref="F73" location="'DNO inputs'!A4" display="'"/>
    <hyperlink ref="G73" location="'DNO inputs'!$C$359" display="'DNO inputs'!$C$359"/>
    <hyperlink ref="F74" location="'DNO inputs'!A4" display="'"/>
    <hyperlink ref="G74" location="'DNO inputs'!$C$365" display="'DNO inputs'!$C$365"/>
    <hyperlink ref="F75" location="'DNO inputs'!A4" display="'"/>
    <hyperlink ref="G75" location="'DNO inputs'!$C$371" display="'DNO inputs'!$C$371"/>
    <hyperlink ref="F76" location="'DNO inputs'!A4" display="'"/>
    <hyperlink ref="G76" location="'DNO inputs'!$C$378" display="'DNO inputs'!$C$378"/>
    <hyperlink ref="F77" location="'DNO inputs'!A4" display="'"/>
    <hyperlink ref="G77" location="'DNO inputs'!$C$387" display="'DNO inputs'!$C$387"/>
    <hyperlink ref="F78" location="'MEAV'!A4" display="'"/>
    <hyperlink ref="G78" location="'MEAV'!$C$18" display="'MEAV'!$C$18"/>
    <hyperlink ref="F79" location="'MEAV'!A4" display="'"/>
    <hyperlink ref="G79" location="'MEAV'!$C$27" display="'MEAV'!$C$27"/>
    <hyperlink ref="F80" location="'MEAV'!A4" display="'"/>
    <hyperlink ref="G80" location="'MEAV'!$C$49" display="'MEAV'!$C$49"/>
    <hyperlink ref="F81" location="'MEAV'!A4" display="'"/>
    <hyperlink ref="G81" location="'MEAV'!$C$80" display="'MEAV'!$C$80"/>
    <hyperlink ref="F82" location="'MEAV'!A4" display="'"/>
    <hyperlink ref="G82" location="'MEAV'!$C$103" display="'MEAV'!$C$103"/>
    <hyperlink ref="F83" location="'MEAV'!A4" display="'"/>
    <hyperlink ref="G83" location="'MEAV'!$C$122" display="'MEAV'!$C$122"/>
    <hyperlink ref="F84" location="'Expenditure'!A4" display="'"/>
    <hyperlink ref="G84" location="'Expenditure'!$C$16" display="'Expenditure'!$C$16"/>
    <hyperlink ref="F85" location="'Expenditure'!A4" display="'"/>
    <hyperlink ref="G85" location="'Expenditure'!$C$36" display="'Expenditure'!$C$36"/>
    <hyperlink ref="F86" location="'Expenditure'!A4" display="'"/>
    <hyperlink ref="G86" location="'Expenditure'!$C$58" display="'Expenditure'!$C$58"/>
    <hyperlink ref="F87" location="'Expenditure'!A4" display="'"/>
    <hyperlink ref="G87" location="'Expenditure'!$C$71" display="'Expenditure'!$C$71"/>
    <hyperlink ref="F88" location="'Expenditure'!A4" display="'"/>
    <hyperlink ref="G88" location="'Expenditure'!$C$87" display="'Expenditure'!$C$87"/>
    <hyperlink ref="F89" location="'Expenditure'!A4" display="'"/>
    <hyperlink ref="G89" location="'Expenditure'!$C$107" display="'Expenditure'!$C$107"/>
    <hyperlink ref="F90" location="'Expenditure'!A4" display="'"/>
    <hyperlink ref="G90" location="'Expenditure'!$C$126" display="'Expenditure'!$C$126"/>
    <hyperlink ref="F91" location="'Expensed'!A4" display="'"/>
    <hyperlink ref="G91" location="'Expensed'!$C$18" display="'Expensed'!$C$18"/>
    <hyperlink ref="F92" location="'Expensed'!A4" display="'"/>
    <hyperlink ref="G92" location="'Expensed'!$C$34" display="'Expensed'!$C$34"/>
    <hyperlink ref="F93" location="'Expensed'!A4" display="'"/>
    <hyperlink ref="G93" location="'Expensed'!$C$40" display="'Expensed'!$C$40"/>
    <hyperlink ref="F94" location="'Expensed'!A4" display="'"/>
    <hyperlink ref="G94" location="'Expensed'!$C$65" display="'Expensed'!$C$65"/>
    <hyperlink ref="F95" location="'Capitalised'!A4" display="'"/>
    <hyperlink ref="G95" location="'Capitalised'!$C$18" display="'Capitalised'!$C$18"/>
    <hyperlink ref="F96" location="'Capitalised'!A4" display="'"/>
    <hyperlink ref="G96" location="'Capitalised'!$C$27" display="'Capitalised'!$C$27"/>
    <hyperlink ref="F97" location="'Capitalised'!A4" display="'"/>
    <hyperlink ref="G97" location="'Capitalised'!$C$47" display="'Capitalised'!$C$47"/>
    <hyperlink ref="F98" location="'Rev allocation'!A4" display="'"/>
    <hyperlink ref="G98" location="'Rev allocation'!$C$16" display="'Rev allocation'!$C$16"/>
    <hyperlink ref="F99" location="'Rev allocation'!A4" display="'"/>
    <hyperlink ref="G99" location="'Rev allocation'!$C$31" display="'Rev allocation'!$C$31"/>
    <hyperlink ref="F100" location="'Rev allocation'!A4" display="'"/>
    <hyperlink ref="G100" location="'Rev allocation'!$C$41" display="'Rev allocation'!$C$41"/>
    <hyperlink ref="F101" location="'Rev allocation'!A4" display="'"/>
    <hyperlink ref="G101" location="'Rev allocation'!$C$56" display="'Rev allocation'!$C$56"/>
    <hyperlink ref="F102" location="'Rev allocation'!A4" display="'"/>
    <hyperlink ref="G102" location="'Rev allocation'!$C$72" display="'Rev allocation'!$C$72"/>
    <hyperlink ref="F103" location="'Rev allocation'!A4" display="'"/>
    <hyperlink ref="G103" location="'Rev allocation'!$C$80" display="'Rev allocation'!$C$80"/>
    <hyperlink ref="F104" location="'Rev allocation'!A4" display="'"/>
    <hyperlink ref="G104" location="'Rev allocation'!$C$90" display="'Rev allocation'!$C$90"/>
    <hyperlink ref="F105" location="'Rev allocation'!A4" display="'"/>
    <hyperlink ref="G105" location="'Rev allocation'!$C$126" display="'Rev allocation'!$C$126"/>
    <hyperlink ref="F106" location="'Rev allocation'!A4" display="'"/>
    <hyperlink ref="G106" location="'Rev allocation'!$C$142" display="'Rev allocation'!$C$142"/>
    <hyperlink ref="F107" location="'Rev allocation'!A4" display="'"/>
    <hyperlink ref="G107" location="'Rev allocation'!$C$156" display="'Rev allocation'!$C$156"/>
    <hyperlink ref="F108" location="'Rev allocation'!A4" display="'"/>
    <hyperlink ref="G108" location="'Rev allocation'!$C$160" display="'Rev allocation'!$C$160"/>
    <hyperlink ref="F109" location="'Direct'!A4" display="'"/>
    <hyperlink ref="G109" location="'Direct'!$C$18" display="'Direct'!$C$18"/>
    <hyperlink ref="F110" location="'Direct'!A4" display="'"/>
    <hyperlink ref="G110" location="'Direct'!$C$32" display="'Direct'!$C$32"/>
    <hyperlink ref="F111" location="'EDCM discounts'!A4" display="'"/>
    <hyperlink ref="G111" location="'EDCM discounts'!$C$16" display="'EDCM discounts'!$C$16"/>
    <hyperlink ref="F112" location="'EDCM discounts'!A4" display="'"/>
    <hyperlink ref="G112" location="'EDCM discounts'!$C$32" display="'EDCM discounts'!$C$32"/>
    <hyperlink ref="F113" location="'EDCM discounts'!A4" display="'"/>
    <hyperlink ref="G113" location="'EDCM discounts'!$C$50" display="'EDCM discounts'!$C$50"/>
    <hyperlink ref="F114" location="'EDCM discounts'!A4" display="'"/>
    <hyperlink ref="G114" location="'EDCM discounts'!$C$62" display="'EDCM discounts'!$C$62"/>
    <hyperlink ref="F115" location="'EDCM discounts'!A4" display="'"/>
    <hyperlink ref="G115" location="'EDCM discounts'!$C$79" display="'EDCM discounts'!$C$79"/>
    <hyperlink ref="F116" location="'EDCM discounts'!A4" display="'"/>
    <hyperlink ref="G116" location="'EDCM discounts'!$C$91" display="'EDCM discounts'!$C$91"/>
    <hyperlink ref="F117" location="'EDCM discounts'!A4" display="'"/>
    <hyperlink ref="G117" location="'EDCM discounts'!$C$100" display="'EDCM discounts'!$C$100"/>
    <hyperlink ref="F118" location="'CDCM discounts'!A4" display="'"/>
    <hyperlink ref="G118" location="'CDCM discounts'!$C$15" display="'CDCM discounts'!$C$15"/>
    <hyperlink ref="F119" location="'CDCM discounts'!A4" display="'"/>
    <hyperlink ref="G119" location="'CDCM discounts'!$C$25" display="'CDCM discounts'!$C$25"/>
    <hyperlink ref="F120" location="'CDCM discounts'!A4" display="'"/>
    <hyperlink ref="G120" location="'CDCM discounts'!$C$33" display="'CDCM discounts'!$C$33"/>
    <hyperlink ref="F121" location="'Output to other models'!A4" display="'"/>
    <hyperlink ref="G121" location="'Output to other models'!$C$15" display="'Output to other models'!$C$15"/>
    <hyperlink ref="F122" location="'Output to other models'!A4" display="'"/>
    <hyperlink ref="G122" location="'Output to other models'!$C$25" display="'Output to other models'!$C$25"/>
  </hyperlinks>
  <pageMargins left="0.7" right="0.7" top="0.75" bottom="0.75" header="0.3" footer="0.3"/>
  <pageSetup paperSize="8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</sheetPr>
  <dimension ref="A1:DA40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336" sqref="A33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05" x14ac:dyDescent="0.25">
      <c r="A1" s="96" t="str">
        <f ca="1">MID(CELL("filename",A1),FIND("]",CELL("filename",A1))+1,255)</f>
        <v>Fixed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</row>
    <row r="2" spans="1:105" x14ac:dyDescent="0.25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</row>
    <row r="3" spans="1:105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</row>
    <row r="4" spans="1:105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127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</row>
    <row r="5" spans="1:10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</row>
    <row r="6" spans="1:105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</row>
    <row r="7" spans="1:105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</row>
    <row r="8" spans="1:105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</row>
    <row r="9" spans="1:105" x14ac:dyDescent="0.25">
      <c r="A9" s="73"/>
      <c r="B9" s="73"/>
      <c r="C9" s="109" t="s">
        <v>682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</row>
    <row r="10" spans="1:105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</row>
    <row r="11" spans="1:105" x14ac:dyDescent="0.25">
      <c r="A11" s="101"/>
      <c r="B11" s="107" t="s">
        <v>178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</row>
    <row r="12" spans="1:105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</row>
    <row r="13" spans="1:105" x14ac:dyDescent="0.25">
      <c r="A13" s="73"/>
      <c r="B13" s="73"/>
      <c r="C13" s="109" t="s">
        <v>431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</row>
    <row r="14" spans="1:105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</row>
    <row r="15" spans="1:105" s="1" customFormat="1" x14ac:dyDescent="0.25">
      <c r="A15" s="73"/>
      <c r="B15" s="73"/>
      <c r="C15" s="110" t="s">
        <v>615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</row>
    <row r="16" spans="1:105" s="1" customFormat="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</row>
    <row r="17" spans="1:105" x14ac:dyDescent="0.25">
      <c r="A17" s="73"/>
      <c r="B17" s="73"/>
      <c r="C17" s="73"/>
      <c r="D17" s="73"/>
      <c r="E17" s="115" t="s">
        <v>486</v>
      </c>
      <c r="F17" s="73"/>
      <c r="G17" s="115" t="s">
        <v>179</v>
      </c>
      <c r="H17" s="23">
        <f>10^6</f>
        <v>1000000</v>
      </c>
      <c r="I17" s="130"/>
      <c r="J17" s="130"/>
      <c r="K17" s="130"/>
      <c r="L17" s="130"/>
      <c r="M17" s="130"/>
      <c r="N17" s="74"/>
      <c r="O17" s="73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</row>
    <row r="18" spans="1:105" x14ac:dyDescent="0.25">
      <c r="A18" s="73"/>
      <c r="B18" s="73"/>
      <c r="C18" s="73"/>
      <c r="D18" s="73"/>
      <c r="E18" s="109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</row>
    <row r="19" spans="1:105" x14ac:dyDescent="0.25">
      <c r="A19" s="101"/>
      <c r="B19" s="107" t="s">
        <v>673</v>
      </c>
      <c r="C19" s="107"/>
      <c r="D19" s="107"/>
      <c r="E19" s="107"/>
      <c r="F19" s="107"/>
      <c r="G19" s="107"/>
      <c r="H19" s="108"/>
      <c r="I19" s="108"/>
      <c r="J19" s="108"/>
      <c r="K19" s="108"/>
      <c r="L19" s="108"/>
      <c r="M19" s="108"/>
      <c r="N19" s="108"/>
      <c r="O19" s="10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</row>
    <row r="20" spans="1:105" x14ac:dyDescent="0.25">
      <c r="A20" s="73"/>
      <c r="B20" s="73"/>
      <c r="C20" s="73"/>
      <c r="D20" s="73"/>
      <c r="E20" s="73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</row>
    <row r="21" spans="1:105" x14ac:dyDescent="0.25">
      <c r="A21" s="73"/>
      <c r="B21" s="73"/>
      <c r="C21" s="109" t="s">
        <v>683</v>
      </c>
      <c r="D21" s="109"/>
      <c r="E21" s="73"/>
      <c r="F21" s="73"/>
      <c r="G21" s="73"/>
      <c r="H21" s="74"/>
      <c r="I21" s="74"/>
      <c r="J21" s="74"/>
      <c r="K21" s="74"/>
      <c r="L21" s="74"/>
      <c r="M21" s="74"/>
      <c r="N21" s="74"/>
      <c r="O21" s="73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</row>
    <row r="22" spans="1:105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</row>
    <row r="23" spans="1:105" x14ac:dyDescent="0.25">
      <c r="A23" s="101"/>
      <c r="B23" s="101"/>
      <c r="C23" s="110" t="s">
        <v>645</v>
      </c>
      <c r="D23" s="110"/>
      <c r="E23" s="110"/>
      <c r="F23" s="110"/>
      <c r="G23" s="110"/>
      <c r="H23" s="111"/>
      <c r="I23" s="111"/>
      <c r="J23" s="111"/>
      <c r="K23" s="111"/>
      <c r="L23" s="111"/>
      <c r="M23" s="111"/>
      <c r="N23" s="111"/>
      <c r="O23" s="110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</row>
    <row r="24" spans="1:105" x14ac:dyDescent="0.25">
      <c r="A24" s="73"/>
      <c r="B24" s="73"/>
      <c r="C24" s="109"/>
      <c r="D24" s="109"/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</row>
    <row r="25" spans="1:105" x14ac:dyDescent="0.25">
      <c r="A25" s="73"/>
      <c r="B25" s="73"/>
      <c r="C25" s="109"/>
      <c r="D25" s="109" t="s">
        <v>558</v>
      </c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</row>
    <row r="26" spans="1:105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</row>
    <row r="27" spans="1:105" x14ac:dyDescent="0.25">
      <c r="A27" s="115"/>
      <c r="B27" s="73"/>
      <c r="C27" s="73"/>
      <c r="D27" s="109"/>
      <c r="E27" s="115" t="s">
        <v>305</v>
      </c>
      <c r="F27" s="73"/>
      <c r="G27" s="115" t="s">
        <v>44</v>
      </c>
      <c r="H27" s="24">
        <v>1</v>
      </c>
      <c r="I27" s="131" t="s">
        <v>314</v>
      </c>
      <c r="J27" s="131"/>
      <c r="K27" s="131"/>
      <c r="L27" s="131"/>
      <c r="M27" s="131"/>
      <c r="N27" s="132"/>
      <c r="O27" s="115" t="s">
        <v>567</v>
      </c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</row>
    <row r="28" spans="1:105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</row>
    <row r="29" spans="1:105" x14ac:dyDescent="0.25">
      <c r="A29" s="101"/>
      <c r="B29" s="101"/>
      <c r="C29" s="110" t="s">
        <v>646</v>
      </c>
      <c r="D29" s="110"/>
      <c r="E29" s="110"/>
      <c r="F29" s="110"/>
      <c r="G29" s="110"/>
      <c r="H29" s="111"/>
      <c r="I29" s="111"/>
      <c r="J29" s="111"/>
      <c r="K29" s="111"/>
      <c r="L29" s="111"/>
      <c r="M29" s="111"/>
      <c r="N29" s="111"/>
      <c r="O29" s="110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</row>
    <row r="30" spans="1:105" x14ac:dyDescent="0.25">
      <c r="A30" s="73"/>
      <c r="B30" s="73"/>
      <c r="C30" s="109"/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</row>
    <row r="31" spans="1:105" x14ac:dyDescent="0.25">
      <c r="A31" s="73"/>
      <c r="B31" s="73"/>
      <c r="C31" s="109"/>
      <c r="D31" s="109" t="s">
        <v>556</v>
      </c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</row>
    <row r="32" spans="1:105" x14ac:dyDescent="0.25">
      <c r="A32" s="73"/>
      <c r="B32" s="73"/>
      <c r="C32" s="109"/>
      <c r="D32" s="109" t="s">
        <v>557</v>
      </c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3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</row>
    <row r="33" spans="1:105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</row>
    <row r="34" spans="1:105" x14ac:dyDescent="0.25">
      <c r="A34" s="115"/>
      <c r="B34" s="73"/>
      <c r="C34" s="73"/>
      <c r="D34" s="109"/>
      <c r="E34" s="115" t="s">
        <v>533</v>
      </c>
      <c r="F34" s="73"/>
      <c r="G34" s="115" t="str">
        <f>Direct!G$56</f>
        <v>%</v>
      </c>
      <c r="H34" s="24">
        <v>1</v>
      </c>
      <c r="I34" s="131" t="s">
        <v>314</v>
      </c>
      <c r="J34" s="131"/>
      <c r="K34" s="131"/>
      <c r="L34" s="131"/>
      <c r="M34" s="131"/>
      <c r="N34" s="132"/>
      <c r="O34" s="115" t="s">
        <v>567</v>
      </c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</row>
    <row r="35" spans="1:105" x14ac:dyDescent="0.25">
      <c r="A35" s="115"/>
      <c r="B35" s="73"/>
      <c r="C35" s="73"/>
      <c r="D35" s="73"/>
      <c r="E35" s="115" t="s">
        <v>320</v>
      </c>
      <c r="F35" s="73"/>
      <c r="G35" s="115" t="str">
        <f>Direct!G$56</f>
        <v>%</v>
      </c>
      <c r="H35" s="24">
        <v>1</v>
      </c>
      <c r="I35" s="131" t="s">
        <v>314</v>
      </c>
      <c r="J35" s="131"/>
      <c r="K35" s="131"/>
      <c r="L35" s="131"/>
      <c r="M35" s="131"/>
      <c r="N35" s="132"/>
      <c r="O35" s="115" t="s">
        <v>567</v>
      </c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</row>
    <row r="36" spans="1:105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</row>
    <row r="37" spans="1:105" x14ac:dyDescent="0.25">
      <c r="A37" s="101"/>
      <c r="B37" s="101"/>
      <c r="C37" s="110" t="s">
        <v>647</v>
      </c>
      <c r="D37" s="110"/>
      <c r="E37" s="110"/>
      <c r="F37" s="110"/>
      <c r="G37" s="110"/>
      <c r="H37" s="111"/>
      <c r="I37" s="111"/>
      <c r="J37" s="111"/>
      <c r="K37" s="111"/>
      <c r="L37" s="111"/>
      <c r="M37" s="111"/>
      <c r="N37" s="111"/>
      <c r="O37" s="110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</row>
    <row r="38" spans="1:105" x14ac:dyDescent="0.25">
      <c r="A38" s="73"/>
      <c r="B38" s="73"/>
      <c r="C38" s="109"/>
      <c r="D38" s="109"/>
      <c r="E38" s="73"/>
      <c r="F38" s="73"/>
      <c r="G38" s="73"/>
      <c r="H38" s="74"/>
      <c r="I38" s="74"/>
      <c r="J38" s="74"/>
      <c r="K38" s="74"/>
      <c r="L38" s="74"/>
      <c r="M38" s="74"/>
      <c r="N38" s="74"/>
      <c r="O38" s="73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</row>
    <row r="39" spans="1:105" x14ac:dyDescent="0.25">
      <c r="A39" s="73"/>
      <c r="B39" s="73"/>
      <c r="C39" s="109"/>
      <c r="D39" s="109" t="s">
        <v>688</v>
      </c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3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</row>
    <row r="40" spans="1:105" x14ac:dyDescent="0.25">
      <c r="A40" s="73"/>
      <c r="B40" s="73"/>
      <c r="C40" s="109"/>
      <c r="D40" s="109" t="s">
        <v>555</v>
      </c>
      <c r="E40" s="73"/>
      <c r="F40" s="73"/>
      <c r="G40" s="73"/>
      <c r="H40" s="74"/>
      <c r="I40" s="74"/>
      <c r="J40" s="74"/>
      <c r="K40" s="74"/>
      <c r="L40" s="74"/>
      <c r="M40" s="74"/>
      <c r="N40" s="74"/>
      <c r="O40" s="73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</row>
    <row r="41" spans="1:105" x14ac:dyDescent="0.25">
      <c r="A41" s="73"/>
      <c r="B41" s="73"/>
      <c r="C41" s="73"/>
      <c r="D41" s="109" t="s">
        <v>495</v>
      </c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3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</row>
    <row r="42" spans="1:105" x14ac:dyDescent="0.25">
      <c r="A42" s="73"/>
      <c r="B42" s="73"/>
      <c r="C42" s="73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3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</row>
    <row r="43" spans="1:105" x14ac:dyDescent="0.25">
      <c r="A43" s="73"/>
      <c r="B43" s="73"/>
      <c r="C43" s="73"/>
      <c r="D43" s="109"/>
      <c r="E43" s="112" t="s">
        <v>302</v>
      </c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</row>
    <row r="44" spans="1:105" x14ac:dyDescent="0.25">
      <c r="A44" s="73"/>
      <c r="B44" s="73"/>
      <c r="C44" s="73"/>
      <c r="D44" s="109"/>
      <c r="E44" s="73"/>
      <c r="F44" s="113" t="s">
        <v>180</v>
      </c>
      <c r="G44" s="113" t="s">
        <v>354</v>
      </c>
      <c r="H44" s="25" t="s">
        <v>22</v>
      </c>
      <c r="I44" s="130"/>
      <c r="J44" s="130"/>
      <c r="K44" s="130"/>
      <c r="L44" s="130"/>
      <c r="M44" s="130"/>
      <c r="N44" s="74"/>
      <c r="O44" s="73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</row>
    <row r="45" spans="1:105" x14ac:dyDescent="0.25">
      <c r="A45" s="73"/>
      <c r="B45" s="73"/>
      <c r="C45" s="73"/>
      <c r="D45" s="73"/>
      <c r="E45" s="73"/>
      <c r="F45" s="115" t="s">
        <v>182</v>
      </c>
      <c r="G45" s="115" t="s">
        <v>354</v>
      </c>
      <c r="H45" s="23" t="s">
        <v>183</v>
      </c>
      <c r="I45" s="130"/>
      <c r="J45" s="130"/>
      <c r="K45" s="130"/>
      <c r="L45" s="130"/>
      <c r="M45" s="130"/>
      <c r="N45" s="74"/>
      <c r="O45" s="73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</row>
    <row r="46" spans="1:105" s="17" customFormat="1" x14ac:dyDescent="0.25">
      <c r="A46" s="73"/>
      <c r="B46" s="73"/>
      <c r="C46" s="73"/>
      <c r="D46" s="73"/>
      <c r="E46" s="73"/>
      <c r="F46" s="216" t="s">
        <v>184</v>
      </c>
      <c r="G46" s="216" t="s">
        <v>354</v>
      </c>
      <c r="H46" s="218" t="s">
        <v>185</v>
      </c>
      <c r="I46" s="130"/>
      <c r="J46" s="130"/>
      <c r="K46" s="130"/>
      <c r="L46" s="130"/>
      <c r="M46" s="130"/>
      <c r="N46" s="74"/>
      <c r="O46" s="73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</row>
    <row r="47" spans="1:105" x14ac:dyDescent="0.25">
      <c r="A47" s="73"/>
      <c r="B47" s="73"/>
      <c r="C47" s="73"/>
      <c r="D47" s="73"/>
      <c r="E47" s="73"/>
      <c r="F47" s="217" t="s">
        <v>195</v>
      </c>
      <c r="G47" s="117" t="s">
        <v>354</v>
      </c>
      <c r="H47" s="219" t="s">
        <v>740</v>
      </c>
      <c r="I47" s="130"/>
      <c r="J47" s="130"/>
      <c r="K47" s="130"/>
      <c r="L47" s="130"/>
      <c r="M47" s="130"/>
      <c r="N47" s="74"/>
      <c r="O47" s="73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</row>
    <row r="48" spans="1:105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</row>
    <row r="49" spans="1:105" x14ac:dyDescent="0.25">
      <c r="A49" s="73"/>
      <c r="B49" s="73"/>
      <c r="C49" s="73"/>
      <c r="D49" s="73"/>
      <c r="E49" s="115" t="s">
        <v>186</v>
      </c>
      <c r="F49" s="73"/>
      <c r="G49" s="115" t="s">
        <v>181</v>
      </c>
      <c r="H49" s="23" t="s">
        <v>22</v>
      </c>
      <c r="I49" s="130"/>
      <c r="J49" s="130"/>
      <c r="K49" s="130"/>
      <c r="L49" s="130"/>
      <c r="M49" s="130"/>
      <c r="N49" s="74"/>
      <c r="O49" s="73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</row>
    <row r="50" spans="1:105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</row>
    <row r="51" spans="1:105" s="17" customFormat="1" x14ac:dyDescent="0.25">
      <c r="A51" s="73"/>
      <c r="B51" s="73"/>
      <c r="C51" s="73"/>
      <c r="D51" s="73"/>
      <c r="E51" s="216" t="s">
        <v>741</v>
      </c>
      <c r="F51" s="73"/>
      <c r="G51" s="115" t="s">
        <v>181</v>
      </c>
      <c r="H51" s="23" t="s">
        <v>740</v>
      </c>
      <c r="I51" s="130"/>
      <c r="J51" s="130"/>
      <c r="K51" s="130"/>
      <c r="L51" s="130"/>
      <c r="M51" s="130"/>
      <c r="N51" s="74"/>
      <c r="O51" s="73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</row>
    <row r="52" spans="1:105" s="17" customFormat="1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</row>
    <row r="53" spans="1:105" x14ac:dyDescent="0.25">
      <c r="A53" s="115"/>
      <c r="B53" s="73"/>
      <c r="C53" s="73"/>
      <c r="D53" s="73"/>
      <c r="E53" s="112" t="s">
        <v>303</v>
      </c>
      <c r="F53" s="73"/>
      <c r="G53" s="73"/>
      <c r="H53" s="74"/>
      <c r="I53" s="132" t="s">
        <v>314</v>
      </c>
      <c r="J53" s="132"/>
      <c r="K53" s="132"/>
      <c r="L53" s="132"/>
      <c r="M53" s="132"/>
      <c r="N53" s="132"/>
      <c r="O53" s="115" t="s">
        <v>416</v>
      </c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</row>
    <row r="54" spans="1:105" x14ac:dyDescent="0.25">
      <c r="A54" s="73"/>
      <c r="B54" s="73"/>
      <c r="C54" s="73"/>
      <c r="D54" s="73"/>
      <c r="E54" s="73"/>
      <c r="F54" s="113" t="s">
        <v>134</v>
      </c>
      <c r="G54" s="113" t="s">
        <v>354</v>
      </c>
      <c r="H54" s="133"/>
      <c r="I54" s="130"/>
      <c r="J54" s="130"/>
      <c r="K54" s="130"/>
      <c r="L54" s="130"/>
      <c r="M54" s="130"/>
      <c r="N54" s="74"/>
      <c r="O54" s="73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</row>
    <row r="55" spans="1:105" x14ac:dyDescent="0.25">
      <c r="A55" s="73"/>
      <c r="B55" s="73"/>
      <c r="C55" s="73"/>
      <c r="D55" s="73"/>
      <c r="E55" s="73"/>
      <c r="F55" s="115" t="s">
        <v>135</v>
      </c>
      <c r="G55" s="115" t="s">
        <v>354</v>
      </c>
      <c r="H55" s="23" t="s">
        <v>22</v>
      </c>
      <c r="I55" s="130"/>
      <c r="J55" s="130"/>
      <c r="K55" s="130"/>
      <c r="L55" s="130"/>
      <c r="M55" s="130"/>
      <c r="N55" s="74"/>
      <c r="O55" s="73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</row>
    <row r="56" spans="1:105" x14ac:dyDescent="0.25">
      <c r="A56" s="73"/>
      <c r="B56" s="73"/>
      <c r="C56" s="73"/>
      <c r="D56" s="73"/>
      <c r="E56" s="73"/>
      <c r="F56" s="115" t="s">
        <v>136</v>
      </c>
      <c r="G56" s="115" t="s">
        <v>354</v>
      </c>
      <c r="H56" s="23" t="s">
        <v>22</v>
      </c>
      <c r="I56" s="130"/>
      <c r="J56" s="130"/>
      <c r="K56" s="130"/>
      <c r="L56" s="130"/>
      <c r="M56" s="130"/>
      <c r="N56" s="74"/>
      <c r="O56" s="73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</row>
    <row r="57" spans="1:105" x14ac:dyDescent="0.25">
      <c r="A57" s="73"/>
      <c r="B57" s="73"/>
      <c r="C57" s="73"/>
      <c r="D57" s="73"/>
      <c r="E57" s="73"/>
      <c r="F57" s="115" t="s">
        <v>137</v>
      </c>
      <c r="G57" s="115" t="s">
        <v>354</v>
      </c>
      <c r="H57" s="23" t="s">
        <v>22</v>
      </c>
      <c r="I57" s="130"/>
      <c r="J57" s="130"/>
      <c r="K57" s="130"/>
      <c r="L57" s="130"/>
      <c r="M57" s="130"/>
      <c r="N57" s="74"/>
      <c r="O57" s="73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</row>
    <row r="58" spans="1:105" x14ac:dyDescent="0.25">
      <c r="A58" s="73"/>
      <c r="B58" s="73"/>
      <c r="C58" s="73"/>
      <c r="D58" s="73"/>
      <c r="E58" s="73"/>
      <c r="F58" s="115" t="s">
        <v>138</v>
      </c>
      <c r="G58" s="115" t="s">
        <v>354</v>
      </c>
      <c r="H58" s="23" t="s">
        <v>22</v>
      </c>
      <c r="I58" s="130"/>
      <c r="J58" s="130"/>
      <c r="K58" s="130"/>
      <c r="L58" s="130"/>
      <c r="M58" s="130"/>
      <c r="N58" s="74"/>
      <c r="O58" s="73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</row>
    <row r="59" spans="1:105" x14ac:dyDescent="0.25">
      <c r="A59" s="73"/>
      <c r="B59" s="73"/>
      <c r="C59" s="73"/>
      <c r="D59" s="73"/>
      <c r="E59" s="73"/>
      <c r="F59" s="115" t="s">
        <v>139</v>
      </c>
      <c r="G59" s="115" t="s">
        <v>354</v>
      </c>
      <c r="H59" s="23" t="s">
        <v>22</v>
      </c>
      <c r="I59" s="130"/>
      <c r="J59" s="130"/>
      <c r="K59" s="130"/>
      <c r="L59" s="130"/>
      <c r="M59" s="130"/>
      <c r="N59" s="74"/>
      <c r="O59" s="73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</row>
    <row r="60" spans="1:105" x14ac:dyDescent="0.25">
      <c r="A60" s="73"/>
      <c r="B60" s="73"/>
      <c r="C60" s="73"/>
      <c r="D60" s="73"/>
      <c r="E60" s="73"/>
      <c r="F60" s="115" t="s">
        <v>140</v>
      </c>
      <c r="G60" s="115" t="s">
        <v>354</v>
      </c>
      <c r="H60" s="23" t="s">
        <v>22</v>
      </c>
      <c r="I60" s="130"/>
      <c r="J60" s="130"/>
      <c r="K60" s="130"/>
      <c r="L60" s="130"/>
      <c r="M60" s="130"/>
      <c r="N60" s="74"/>
      <c r="O60" s="73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</row>
    <row r="61" spans="1:105" x14ac:dyDescent="0.25">
      <c r="A61" s="73"/>
      <c r="B61" s="73"/>
      <c r="C61" s="73"/>
      <c r="D61" s="73"/>
      <c r="E61" s="73"/>
      <c r="F61" s="115" t="s">
        <v>141</v>
      </c>
      <c r="G61" s="115" t="s">
        <v>354</v>
      </c>
      <c r="H61" s="23" t="s">
        <v>22</v>
      </c>
      <c r="I61" s="130"/>
      <c r="J61" s="130"/>
      <c r="K61" s="130"/>
      <c r="L61" s="130"/>
      <c r="M61" s="130"/>
      <c r="N61" s="74"/>
      <c r="O61" s="73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</row>
    <row r="62" spans="1:105" x14ac:dyDescent="0.25">
      <c r="A62" s="73"/>
      <c r="B62" s="73"/>
      <c r="C62" s="73"/>
      <c r="D62" s="73"/>
      <c r="E62" s="73"/>
      <c r="F62" s="115" t="s">
        <v>142</v>
      </c>
      <c r="G62" s="115" t="s">
        <v>354</v>
      </c>
      <c r="H62" s="23" t="s">
        <v>22</v>
      </c>
      <c r="I62" s="130"/>
      <c r="J62" s="130"/>
      <c r="K62" s="130"/>
      <c r="L62" s="130"/>
      <c r="M62" s="130"/>
      <c r="N62" s="74"/>
      <c r="O62" s="73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</row>
    <row r="63" spans="1:105" x14ac:dyDescent="0.25">
      <c r="A63" s="73"/>
      <c r="B63" s="73"/>
      <c r="C63" s="73"/>
      <c r="D63" s="73"/>
      <c r="E63" s="73"/>
      <c r="F63" s="115" t="s">
        <v>143</v>
      </c>
      <c r="G63" s="115" t="s">
        <v>354</v>
      </c>
      <c r="H63" s="23" t="s">
        <v>22</v>
      </c>
      <c r="I63" s="130"/>
      <c r="J63" s="130"/>
      <c r="K63" s="130"/>
      <c r="L63" s="130"/>
      <c r="M63" s="130"/>
      <c r="N63" s="74"/>
      <c r="O63" s="73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</row>
    <row r="64" spans="1:105" x14ac:dyDescent="0.25">
      <c r="A64" s="73"/>
      <c r="B64" s="73"/>
      <c r="C64" s="73"/>
      <c r="D64" s="73"/>
      <c r="E64" s="73"/>
      <c r="F64" s="115" t="s">
        <v>144</v>
      </c>
      <c r="G64" s="115" t="s">
        <v>354</v>
      </c>
      <c r="H64" s="23" t="s">
        <v>22</v>
      </c>
      <c r="I64" s="130"/>
      <c r="J64" s="130"/>
      <c r="K64" s="130"/>
      <c r="L64" s="130"/>
      <c r="M64" s="130"/>
      <c r="N64" s="74"/>
      <c r="O64" s="73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</row>
    <row r="65" spans="1:105" x14ac:dyDescent="0.25">
      <c r="A65" s="73"/>
      <c r="B65" s="73"/>
      <c r="C65" s="73"/>
      <c r="D65" s="73"/>
      <c r="E65" s="73"/>
      <c r="F65" s="115" t="s">
        <v>188</v>
      </c>
      <c r="G65" s="115" t="s">
        <v>354</v>
      </c>
      <c r="H65" s="23" t="s">
        <v>22</v>
      </c>
      <c r="I65" s="130"/>
      <c r="J65" s="130"/>
      <c r="K65" s="130"/>
      <c r="L65" s="130"/>
      <c r="M65" s="130"/>
      <c r="N65" s="74"/>
      <c r="O65" s="73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</row>
    <row r="66" spans="1:105" x14ac:dyDescent="0.25">
      <c r="A66" s="73"/>
      <c r="B66" s="73"/>
      <c r="C66" s="73"/>
      <c r="D66" s="73"/>
      <c r="E66" s="73"/>
      <c r="F66" s="115" t="s">
        <v>146</v>
      </c>
      <c r="G66" s="115" t="s">
        <v>354</v>
      </c>
      <c r="H66" s="23" t="s">
        <v>22</v>
      </c>
      <c r="I66" s="130"/>
      <c r="J66" s="130"/>
      <c r="K66" s="130"/>
      <c r="L66" s="130"/>
      <c r="M66" s="130"/>
      <c r="N66" s="74"/>
      <c r="O66" s="73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</row>
    <row r="67" spans="1:105" x14ac:dyDescent="0.25">
      <c r="A67" s="73"/>
      <c r="B67" s="73"/>
      <c r="C67" s="73"/>
      <c r="D67" s="73"/>
      <c r="E67" s="73"/>
      <c r="F67" s="115" t="s">
        <v>147</v>
      </c>
      <c r="G67" s="115" t="s">
        <v>354</v>
      </c>
      <c r="H67" s="23" t="s">
        <v>22</v>
      </c>
      <c r="I67" s="130"/>
      <c r="J67" s="130"/>
      <c r="K67" s="130"/>
      <c r="L67" s="130"/>
      <c r="M67" s="130"/>
      <c r="N67" s="74"/>
      <c r="O67" s="73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</row>
    <row r="68" spans="1:105" x14ac:dyDescent="0.25">
      <c r="A68" s="73"/>
      <c r="B68" s="73"/>
      <c r="C68" s="73"/>
      <c r="D68" s="73"/>
      <c r="E68" s="73"/>
      <c r="F68" s="115" t="s">
        <v>148</v>
      </c>
      <c r="G68" s="115" t="s">
        <v>354</v>
      </c>
      <c r="H68" s="23" t="s">
        <v>22</v>
      </c>
      <c r="I68" s="130"/>
      <c r="J68" s="130"/>
      <c r="K68" s="130"/>
      <c r="L68" s="130"/>
      <c r="M68" s="130"/>
      <c r="N68" s="74"/>
      <c r="O68" s="73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</row>
    <row r="69" spans="1:105" x14ac:dyDescent="0.25">
      <c r="A69" s="73"/>
      <c r="B69" s="73"/>
      <c r="C69" s="73"/>
      <c r="D69" s="73"/>
      <c r="E69" s="73"/>
      <c r="F69" s="115" t="s">
        <v>149</v>
      </c>
      <c r="G69" s="115" t="s">
        <v>354</v>
      </c>
      <c r="H69" s="23" t="s">
        <v>185</v>
      </c>
      <c r="I69" s="130"/>
      <c r="J69" s="130"/>
      <c r="K69" s="130"/>
      <c r="L69" s="130"/>
      <c r="M69" s="130"/>
      <c r="N69" s="74"/>
      <c r="O69" s="73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</row>
    <row r="70" spans="1:105" x14ac:dyDescent="0.25">
      <c r="A70" s="73"/>
      <c r="B70" s="73"/>
      <c r="C70" s="73"/>
      <c r="D70" s="73"/>
      <c r="E70" s="73"/>
      <c r="F70" s="115" t="s">
        <v>150</v>
      </c>
      <c r="G70" s="115" t="s">
        <v>354</v>
      </c>
      <c r="H70" s="23" t="s">
        <v>185</v>
      </c>
      <c r="I70" s="130"/>
      <c r="J70" s="130"/>
      <c r="K70" s="130"/>
      <c r="L70" s="130"/>
      <c r="M70" s="130"/>
      <c r="N70" s="74"/>
      <c r="O70" s="73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</row>
    <row r="71" spans="1:105" x14ac:dyDescent="0.25">
      <c r="A71" s="73"/>
      <c r="B71" s="73"/>
      <c r="C71" s="73"/>
      <c r="D71" s="73"/>
      <c r="E71" s="73"/>
      <c r="F71" s="115" t="s">
        <v>151</v>
      </c>
      <c r="G71" s="115" t="s">
        <v>354</v>
      </c>
      <c r="H71" s="23" t="s">
        <v>22</v>
      </c>
      <c r="I71" s="130"/>
      <c r="J71" s="130"/>
      <c r="K71" s="130"/>
      <c r="L71" s="130"/>
      <c r="M71" s="130"/>
      <c r="N71" s="74"/>
      <c r="O71" s="73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</row>
    <row r="72" spans="1:105" x14ac:dyDescent="0.25">
      <c r="A72" s="73"/>
      <c r="B72" s="73"/>
      <c r="C72" s="73"/>
      <c r="D72" s="73"/>
      <c r="E72" s="73"/>
      <c r="F72" s="115" t="s">
        <v>152</v>
      </c>
      <c r="G72" s="115" t="s">
        <v>354</v>
      </c>
      <c r="H72" s="23" t="s">
        <v>22</v>
      </c>
      <c r="I72" s="130"/>
      <c r="J72" s="130"/>
      <c r="K72" s="130"/>
      <c r="L72" s="130"/>
      <c r="M72" s="130"/>
      <c r="N72" s="74"/>
      <c r="O72" s="73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</row>
    <row r="73" spans="1:105" x14ac:dyDescent="0.25">
      <c r="A73" s="73"/>
      <c r="B73" s="73"/>
      <c r="C73" s="73"/>
      <c r="D73" s="73"/>
      <c r="E73" s="73"/>
      <c r="F73" s="115" t="s">
        <v>153</v>
      </c>
      <c r="G73" s="115" t="s">
        <v>354</v>
      </c>
      <c r="H73" s="23" t="s">
        <v>22</v>
      </c>
      <c r="I73" s="130"/>
      <c r="J73" s="130"/>
      <c r="K73" s="130"/>
      <c r="L73" s="130"/>
      <c r="M73" s="130"/>
      <c r="N73" s="74"/>
      <c r="O73" s="73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</row>
    <row r="74" spans="1:105" x14ac:dyDescent="0.25">
      <c r="A74" s="73"/>
      <c r="B74" s="73"/>
      <c r="C74" s="73"/>
      <c r="D74" s="73"/>
      <c r="E74" s="73"/>
      <c r="F74" s="115" t="s">
        <v>154</v>
      </c>
      <c r="G74" s="115" t="s">
        <v>354</v>
      </c>
      <c r="H74" s="23" t="s">
        <v>22</v>
      </c>
      <c r="I74" s="130"/>
      <c r="J74" s="130"/>
      <c r="K74" s="130"/>
      <c r="L74" s="130"/>
      <c r="M74" s="130"/>
      <c r="N74" s="74"/>
      <c r="O74" s="73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</row>
    <row r="75" spans="1:105" x14ac:dyDescent="0.25">
      <c r="A75" s="73"/>
      <c r="B75" s="73"/>
      <c r="C75" s="73"/>
      <c r="D75" s="73"/>
      <c r="E75" s="73"/>
      <c r="F75" s="115" t="s">
        <v>155</v>
      </c>
      <c r="G75" s="115" t="s">
        <v>354</v>
      </c>
      <c r="H75" s="23" t="s">
        <v>185</v>
      </c>
      <c r="I75" s="130"/>
      <c r="J75" s="130"/>
      <c r="K75" s="130"/>
      <c r="L75" s="130"/>
      <c r="M75" s="130"/>
      <c r="N75" s="74"/>
      <c r="O75" s="73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</row>
    <row r="76" spans="1:105" x14ac:dyDescent="0.25">
      <c r="A76" s="73"/>
      <c r="B76" s="73"/>
      <c r="C76" s="73"/>
      <c r="D76" s="73"/>
      <c r="E76" s="73"/>
      <c r="F76" s="115" t="s">
        <v>156</v>
      </c>
      <c r="G76" s="115" t="s">
        <v>354</v>
      </c>
      <c r="H76" s="26" t="s">
        <v>185</v>
      </c>
      <c r="I76" s="134"/>
      <c r="J76" s="134"/>
      <c r="K76" s="134"/>
      <c r="L76" s="134"/>
      <c r="M76" s="134"/>
      <c r="N76" s="74"/>
      <c r="O76" s="73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</row>
    <row r="77" spans="1:105" x14ac:dyDescent="0.25">
      <c r="A77" s="73"/>
      <c r="B77" s="73"/>
      <c r="C77" s="73"/>
      <c r="D77" s="73"/>
      <c r="E77" s="73"/>
      <c r="F77" s="115" t="s">
        <v>157</v>
      </c>
      <c r="G77" s="115" t="s">
        <v>354</v>
      </c>
      <c r="H77" s="26" t="s">
        <v>185</v>
      </c>
      <c r="I77" s="134"/>
      <c r="J77" s="134"/>
      <c r="K77" s="134"/>
      <c r="L77" s="134"/>
      <c r="M77" s="134"/>
      <c r="N77" s="74"/>
      <c r="O77" s="73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</row>
    <row r="78" spans="1:105" x14ac:dyDescent="0.25">
      <c r="A78" s="73"/>
      <c r="B78" s="73"/>
      <c r="C78" s="73"/>
      <c r="D78" s="73"/>
      <c r="E78" s="73"/>
      <c r="F78" s="115" t="s">
        <v>158</v>
      </c>
      <c r="G78" s="115" t="s">
        <v>354</v>
      </c>
      <c r="H78" s="26" t="s">
        <v>185</v>
      </c>
      <c r="I78" s="134"/>
      <c r="J78" s="134"/>
      <c r="K78" s="134"/>
      <c r="L78" s="134"/>
      <c r="M78" s="134"/>
      <c r="N78" s="74"/>
      <c r="O78" s="73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</row>
    <row r="79" spans="1:105" x14ac:dyDescent="0.25">
      <c r="A79" s="73"/>
      <c r="B79" s="73"/>
      <c r="C79" s="73"/>
      <c r="D79" s="73"/>
      <c r="E79" s="73"/>
      <c r="F79" s="115" t="s">
        <v>159</v>
      </c>
      <c r="G79" s="115" t="s">
        <v>354</v>
      </c>
      <c r="H79" s="26" t="s">
        <v>185</v>
      </c>
      <c r="I79" s="134"/>
      <c r="J79" s="134"/>
      <c r="K79" s="134"/>
      <c r="L79" s="134"/>
      <c r="M79" s="134"/>
      <c r="N79" s="74"/>
      <c r="O79" s="73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</row>
    <row r="80" spans="1:105" x14ac:dyDescent="0.25">
      <c r="A80" s="73"/>
      <c r="B80" s="73"/>
      <c r="C80" s="73"/>
      <c r="D80" s="73"/>
      <c r="E80" s="73"/>
      <c r="F80" s="115" t="s">
        <v>160</v>
      </c>
      <c r="G80" s="115" t="s">
        <v>354</v>
      </c>
      <c r="H80" s="26" t="s">
        <v>185</v>
      </c>
      <c r="I80" s="134"/>
      <c r="J80" s="134"/>
      <c r="K80" s="134"/>
      <c r="L80" s="134"/>
      <c r="M80" s="134"/>
      <c r="N80" s="74"/>
      <c r="O80" s="73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</row>
    <row r="81" spans="1:105" x14ac:dyDescent="0.25">
      <c r="A81" s="73"/>
      <c r="B81" s="73"/>
      <c r="C81" s="73"/>
      <c r="D81" s="73"/>
      <c r="E81" s="73"/>
      <c r="F81" s="115" t="s">
        <v>161</v>
      </c>
      <c r="G81" s="115" t="s">
        <v>354</v>
      </c>
      <c r="H81" s="26" t="s">
        <v>185</v>
      </c>
      <c r="I81" s="134"/>
      <c r="J81" s="134"/>
      <c r="K81" s="134"/>
      <c r="L81" s="134"/>
      <c r="M81" s="134"/>
      <c r="N81" s="74"/>
      <c r="O81" s="73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</row>
    <row r="82" spans="1:105" x14ac:dyDescent="0.25">
      <c r="A82" s="73"/>
      <c r="B82" s="73"/>
      <c r="C82" s="73"/>
      <c r="D82" s="73"/>
      <c r="E82" s="73"/>
      <c r="F82" s="115" t="s">
        <v>162</v>
      </c>
      <c r="G82" s="115" t="s">
        <v>354</v>
      </c>
      <c r="H82" s="26" t="s">
        <v>185</v>
      </c>
      <c r="I82" s="134"/>
      <c r="J82" s="134"/>
      <c r="K82" s="134"/>
      <c r="L82" s="134"/>
      <c r="M82" s="134"/>
      <c r="N82" s="74"/>
      <c r="O82" s="73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</row>
    <row r="83" spans="1:105" x14ac:dyDescent="0.25">
      <c r="A83" s="73"/>
      <c r="B83" s="73"/>
      <c r="C83" s="73"/>
      <c r="D83" s="73"/>
      <c r="E83" s="73"/>
      <c r="F83" s="115" t="s">
        <v>163</v>
      </c>
      <c r="G83" s="115" t="s">
        <v>354</v>
      </c>
      <c r="H83" s="26" t="s">
        <v>185</v>
      </c>
      <c r="I83" s="134"/>
      <c r="J83" s="134"/>
      <c r="K83" s="134"/>
      <c r="L83" s="134"/>
      <c r="M83" s="134"/>
      <c r="N83" s="74"/>
      <c r="O83" s="73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</row>
    <row r="84" spans="1:105" x14ac:dyDescent="0.25">
      <c r="A84" s="73"/>
      <c r="B84" s="73"/>
      <c r="C84" s="73"/>
      <c r="D84" s="73"/>
      <c r="E84" s="73"/>
      <c r="F84" s="115" t="s">
        <v>164</v>
      </c>
      <c r="G84" s="115" t="s">
        <v>354</v>
      </c>
      <c r="H84" s="26" t="s">
        <v>183</v>
      </c>
      <c r="I84" s="134"/>
      <c r="J84" s="134"/>
      <c r="K84" s="134"/>
      <c r="L84" s="134"/>
      <c r="M84" s="134"/>
      <c r="N84" s="74"/>
      <c r="O84" s="73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</row>
    <row r="85" spans="1:105" x14ac:dyDescent="0.25">
      <c r="A85" s="73"/>
      <c r="B85" s="73"/>
      <c r="C85" s="73"/>
      <c r="D85" s="73"/>
      <c r="E85" s="73"/>
      <c r="F85" s="115" t="s">
        <v>189</v>
      </c>
      <c r="G85" s="115" t="s">
        <v>354</v>
      </c>
      <c r="H85" s="26" t="s">
        <v>185</v>
      </c>
      <c r="I85" s="134"/>
      <c r="J85" s="134"/>
      <c r="K85" s="134"/>
      <c r="L85" s="134"/>
      <c r="M85" s="134"/>
      <c r="N85" s="74"/>
      <c r="O85" s="73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</row>
    <row r="86" spans="1:105" s="17" customFormat="1" x14ac:dyDescent="0.25">
      <c r="A86" s="73"/>
      <c r="B86" s="73"/>
      <c r="C86" s="73"/>
      <c r="D86" s="73"/>
      <c r="E86" s="73"/>
      <c r="F86" s="216" t="s">
        <v>743</v>
      </c>
      <c r="G86" s="216" t="s">
        <v>354</v>
      </c>
      <c r="H86" s="26" t="s">
        <v>740</v>
      </c>
      <c r="I86" s="136" t="s">
        <v>314</v>
      </c>
      <c r="J86" s="134"/>
      <c r="K86" s="134"/>
      <c r="L86" s="134"/>
      <c r="M86" s="134"/>
      <c r="N86" s="74"/>
      <c r="O86" s="73" t="s">
        <v>752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</row>
    <row r="87" spans="1:105" x14ac:dyDescent="0.25">
      <c r="A87" s="73"/>
      <c r="B87" s="73"/>
      <c r="C87" s="73"/>
      <c r="D87" s="73"/>
      <c r="E87" s="73"/>
      <c r="F87" s="217" t="s">
        <v>742</v>
      </c>
      <c r="G87" s="117" t="s">
        <v>354</v>
      </c>
      <c r="H87" s="27" t="s">
        <v>185</v>
      </c>
      <c r="I87" s="136" t="s">
        <v>314</v>
      </c>
      <c r="J87" s="134"/>
      <c r="K87" s="134"/>
      <c r="L87" s="134"/>
      <c r="M87" s="134"/>
      <c r="N87" s="74"/>
      <c r="O87" s="73" t="s">
        <v>752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</row>
    <row r="88" spans="1:105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</row>
    <row r="89" spans="1:105" x14ac:dyDescent="0.25">
      <c r="A89" s="101"/>
      <c r="B89" s="101"/>
      <c r="C89" s="110" t="s">
        <v>616</v>
      </c>
      <c r="D89" s="110"/>
      <c r="E89" s="110"/>
      <c r="F89" s="110"/>
      <c r="G89" s="110"/>
      <c r="H89" s="111"/>
      <c r="I89" s="111"/>
      <c r="J89" s="111"/>
      <c r="K89" s="111"/>
      <c r="L89" s="111"/>
      <c r="M89" s="111"/>
      <c r="N89" s="111"/>
      <c r="O89" s="110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</row>
    <row r="90" spans="1:105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</row>
    <row r="91" spans="1:105" x14ac:dyDescent="0.25">
      <c r="A91" s="73"/>
      <c r="B91" s="73"/>
      <c r="C91" s="109"/>
      <c r="D91" s="109" t="s">
        <v>559</v>
      </c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3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</row>
    <row r="92" spans="1:105" x14ac:dyDescent="0.25">
      <c r="A92" s="73"/>
      <c r="B92" s="73"/>
      <c r="C92" s="109"/>
      <c r="D92" s="109" t="s">
        <v>560</v>
      </c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</row>
    <row r="93" spans="1:105" x14ac:dyDescent="0.25">
      <c r="A93" s="73"/>
      <c r="B93" s="73"/>
      <c r="C93" s="109"/>
      <c r="D93" s="109"/>
      <c r="E93" s="73"/>
      <c r="F93" s="73"/>
      <c r="G93" s="73"/>
      <c r="H93" s="74"/>
      <c r="I93" s="74"/>
      <c r="J93" s="74"/>
      <c r="K93" s="74"/>
      <c r="L93" s="74"/>
      <c r="M93" s="74"/>
      <c r="N93" s="74"/>
      <c r="O93" s="73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</row>
    <row r="94" spans="1:105" x14ac:dyDescent="0.25">
      <c r="A94" s="115"/>
      <c r="B94" s="73"/>
      <c r="C94" s="73"/>
      <c r="D94" s="109"/>
      <c r="E94" s="112" t="s">
        <v>304</v>
      </c>
      <c r="F94" s="73"/>
      <c r="G94" s="73"/>
      <c r="H94" s="74"/>
      <c r="I94" s="132" t="s">
        <v>314</v>
      </c>
      <c r="J94" s="132"/>
      <c r="K94" s="132"/>
      <c r="L94" s="132"/>
      <c r="M94" s="132"/>
      <c r="N94" s="132"/>
      <c r="O94" s="115" t="s">
        <v>416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</row>
    <row r="95" spans="1:105" x14ac:dyDescent="0.25">
      <c r="A95" s="73"/>
      <c r="B95" s="73"/>
      <c r="C95" s="73"/>
      <c r="D95" s="73"/>
      <c r="E95" s="73"/>
      <c r="F95" s="113" t="s">
        <v>134</v>
      </c>
      <c r="G95" s="113" t="s">
        <v>44</v>
      </c>
      <c r="H95" s="28">
        <v>1</v>
      </c>
      <c r="I95" s="135"/>
      <c r="J95" s="135"/>
      <c r="K95" s="135"/>
      <c r="L95" s="135"/>
      <c r="M95" s="135"/>
      <c r="N95" s="74"/>
      <c r="O95" s="73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</row>
    <row r="96" spans="1:105" x14ac:dyDescent="0.25">
      <c r="A96" s="73"/>
      <c r="B96" s="73"/>
      <c r="C96" s="73"/>
      <c r="D96" s="73"/>
      <c r="E96" s="73"/>
      <c r="F96" s="115" t="s">
        <v>135</v>
      </c>
      <c r="G96" s="115" t="s">
        <v>44</v>
      </c>
      <c r="H96" s="24">
        <v>1</v>
      </c>
      <c r="I96" s="135"/>
      <c r="J96" s="135"/>
      <c r="K96" s="135"/>
      <c r="L96" s="135"/>
      <c r="M96" s="135"/>
      <c r="N96" s="74"/>
      <c r="O96" s="73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</row>
    <row r="97" spans="1:105" x14ac:dyDescent="0.25">
      <c r="A97" s="73"/>
      <c r="B97" s="73"/>
      <c r="C97" s="73"/>
      <c r="D97" s="73"/>
      <c r="E97" s="73"/>
      <c r="F97" s="115" t="s">
        <v>136</v>
      </c>
      <c r="G97" s="115" t="s">
        <v>44</v>
      </c>
      <c r="H97" s="24">
        <v>0.23499999999999999</v>
      </c>
      <c r="I97" s="135"/>
      <c r="J97" s="135"/>
      <c r="K97" s="135"/>
      <c r="L97" s="135"/>
      <c r="M97" s="135"/>
      <c r="N97" s="74"/>
      <c r="O97" s="73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</row>
    <row r="98" spans="1:105" x14ac:dyDescent="0.25">
      <c r="A98" s="73"/>
      <c r="B98" s="73"/>
      <c r="C98" s="73"/>
      <c r="D98" s="73"/>
      <c r="E98" s="73"/>
      <c r="F98" s="115" t="s">
        <v>137</v>
      </c>
      <c r="G98" s="115" t="s">
        <v>44</v>
      </c>
      <c r="H98" s="24">
        <v>0.23499999999999999</v>
      </c>
      <c r="I98" s="135"/>
      <c r="J98" s="135"/>
      <c r="K98" s="135"/>
      <c r="L98" s="135"/>
      <c r="M98" s="135"/>
      <c r="N98" s="74"/>
      <c r="O98" s="73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</row>
    <row r="99" spans="1:105" x14ac:dyDescent="0.25">
      <c r="A99" s="73"/>
      <c r="B99" s="73"/>
      <c r="C99" s="73"/>
      <c r="D99" s="73"/>
      <c r="E99" s="73"/>
      <c r="F99" s="115" t="s">
        <v>138</v>
      </c>
      <c r="G99" s="115" t="s">
        <v>44</v>
      </c>
      <c r="H99" s="24">
        <v>0.23499999999999999</v>
      </c>
      <c r="I99" s="135"/>
      <c r="J99" s="135"/>
      <c r="K99" s="135"/>
      <c r="L99" s="135"/>
      <c r="M99" s="135"/>
      <c r="N99" s="74"/>
      <c r="O99" s="73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</row>
    <row r="100" spans="1:105" x14ac:dyDescent="0.25">
      <c r="A100" s="73"/>
      <c r="B100" s="73"/>
      <c r="C100" s="73"/>
      <c r="D100" s="73"/>
      <c r="E100" s="73"/>
      <c r="F100" s="115" t="s">
        <v>139</v>
      </c>
      <c r="G100" s="115" t="s">
        <v>44</v>
      </c>
      <c r="H100" s="24">
        <v>0.23499999999999999</v>
      </c>
      <c r="I100" s="135"/>
      <c r="J100" s="135"/>
      <c r="K100" s="135"/>
      <c r="L100" s="135"/>
      <c r="M100" s="135"/>
      <c r="N100" s="74"/>
      <c r="O100" s="73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</row>
    <row r="101" spans="1:105" x14ac:dyDescent="0.25">
      <c r="A101" s="73"/>
      <c r="B101" s="73"/>
      <c r="C101" s="73"/>
      <c r="D101" s="73"/>
      <c r="E101" s="73"/>
      <c r="F101" s="115" t="s">
        <v>140</v>
      </c>
      <c r="G101" s="115" t="s">
        <v>44</v>
      </c>
      <c r="H101" s="24">
        <v>0.52569999999999995</v>
      </c>
      <c r="I101" s="135"/>
      <c r="J101" s="135"/>
      <c r="K101" s="135"/>
      <c r="L101" s="135"/>
      <c r="M101" s="135"/>
      <c r="N101" s="74"/>
      <c r="O101" s="73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</row>
    <row r="102" spans="1:105" x14ac:dyDescent="0.25">
      <c r="A102" s="73"/>
      <c r="B102" s="73"/>
      <c r="C102" s="73"/>
      <c r="D102" s="73"/>
      <c r="E102" s="73"/>
      <c r="F102" s="115" t="s">
        <v>141</v>
      </c>
      <c r="G102" s="115" t="s">
        <v>44</v>
      </c>
      <c r="H102" s="24">
        <v>0.52569999999999995</v>
      </c>
      <c r="I102" s="135"/>
      <c r="J102" s="135"/>
      <c r="K102" s="135"/>
      <c r="L102" s="135"/>
      <c r="M102" s="135"/>
      <c r="N102" s="74"/>
      <c r="O102" s="73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</row>
    <row r="103" spans="1:105" x14ac:dyDescent="0.25">
      <c r="A103" s="73"/>
      <c r="B103" s="73"/>
      <c r="C103" s="73"/>
      <c r="D103" s="73"/>
      <c r="E103" s="73"/>
      <c r="F103" s="115" t="s">
        <v>142</v>
      </c>
      <c r="G103" s="115" t="s">
        <v>44</v>
      </c>
      <c r="H103" s="24">
        <v>0.52569999999999995</v>
      </c>
      <c r="I103" s="135"/>
      <c r="J103" s="135"/>
      <c r="K103" s="135"/>
      <c r="L103" s="135"/>
      <c r="M103" s="135"/>
      <c r="N103" s="74"/>
      <c r="O103" s="73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</row>
    <row r="104" spans="1:105" x14ac:dyDescent="0.25">
      <c r="A104" s="73"/>
      <c r="B104" s="73"/>
      <c r="C104" s="73"/>
      <c r="D104" s="73"/>
      <c r="E104" s="73"/>
      <c r="F104" s="115" t="s">
        <v>143</v>
      </c>
      <c r="G104" s="115" t="s">
        <v>44</v>
      </c>
      <c r="H104" s="24">
        <v>0.52569999999999995</v>
      </c>
      <c r="I104" s="135"/>
      <c r="J104" s="135"/>
      <c r="K104" s="135"/>
      <c r="L104" s="135"/>
      <c r="M104" s="135"/>
      <c r="N104" s="74"/>
      <c r="O104" s="73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</row>
    <row r="105" spans="1:105" x14ac:dyDescent="0.25">
      <c r="A105" s="73"/>
      <c r="B105" s="73"/>
      <c r="C105" s="73"/>
      <c r="D105" s="73"/>
      <c r="E105" s="73"/>
      <c r="F105" s="115" t="s">
        <v>144</v>
      </c>
      <c r="G105" s="115" t="s">
        <v>44</v>
      </c>
      <c r="H105" s="24">
        <v>0.52569999999999995</v>
      </c>
      <c r="I105" s="135"/>
      <c r="J105" s="135"/>
      <c r="K105" s="135"/>
      <c r="L105" s="135"/>
      <c r="M105" s="135"/>
      <c r="N105" s="74"/>
      <c r="O105" s="73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</row>
    <row r="106" spans="1:105" x14ac:dyDescent="0.25">
      <c r="A106" s="73"/>
      <c r="B106" s="73"/>
      <c r="C106" s="73"/>
      <c r="D106" s="73"/>
      <c r="E106" s="73"/>
      <c r="F106" s="115" t="s">
        <v>188</v>
      </c>
      <c r="G106" s="115" t="s">
        <v>44</v>
      </c>
      <c r="H106" s="24">
        <v>0.52569999999999995</v>
      </c>
      <c r="I106" s="135"/>
      <c r="J106" s="135"/>
      <c r="K106" s="135"/>
      <c r="L106" s="135"/>
      <c r="M106" s="135"/>
      <c r="N106" s="74"/>
      <c r="O106" s="73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</row>
    <row r="107" spans="1:105" x14ac:dyDescent="0.25">
      <c r="A107" s="73"/>
      <c r="B107" s="73"/>
      <c r="C107" s="73"/>
      <c r="D107" s="73"/>
      <c r="E107" s="73"/>
      <c r="F107" s="115" t="s">
        <v>146</v>
      </c>
      <c r="G107" s="115" t="s">
        <v>44</v>
      </c>
      <c r="H107" s="24">
        <v>0.52569999999999995</v>
      </c>
      <c r="I107" s="135"/>
      <c r="J107" s="135"/>
      <c r="K107" s="135"/>
      <c r="L107" s="135"/>
      <c r="M107" s="135"/>
      <c r="N107" s="74"/>
      <c r="O107" s="73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</row>
    <row r="108" spans="1:105" x14ac:dyDescent="0.25">
      <c r="A108" s="73"/>
      <c r="B108" s="73"/>
      <c r="C108" s="73"/>
      <c r="D108" s="73"/>
      <c r="E108" s="73"/>
      <c r="F108" s="115" t="s">
        <v>147</v>
      </c>
      <c r="G108" s="115" t="s">
        <v>44</v>
      </c>
      <c r="H108" s="24">
        <v>0.52569999999999995</v>
      </c>
      <c r="I108" s="135"/>
      <c r="J108" s="135"/>
      <c r="K108" s="135"/>
      <c r="L108" s="135"/>
      <c r="M108" s="135"/>
      <c r="N108" s="74"/>
      <c r="O108" s="73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</row>
    <row r="109" spans="1:105" x14ac:dyDescent="0.25">
      <c r="A109" s="73"/>
      <c r="B109" s="73"/>
      <c r="C109" s="73"/>
      <c r="D109" s="73"/>
      <c r="E109" s="73"/>
      <c r="F109" s="115" t="s">
        <v>148</v>
      </c>
      <c r="G109" s="115" t="s">
        <v>44</v>
      </c>
      <c r="H109" s="24">
        <v>0.52569999999999995</v>
      </c>
      <c r="I109" s="135"/>
      <c r="J109" s="135"/>
      <c r="K109" s="135"/>
      <c r="L109" s="135"/>
      <c r="M109" s="135"/>
      <c r="N109" s="74"/>
      <c r="O109" s="73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</row>
    <row r="110" spans="1:105" x14ac:dyDescent="0.25">
      <c r="A110" s="73"/>
      <c r="B110" s="73"/>
      <c r="C110" s="73"/>
      <c r="D110" s="73"/>
      <c r="E110" s="73"/>
      <c r="F110" s="115" t="s">
        <v>149</v>
      </c>
      <c r="G110" s="115" t="s">
        <v>44</v>
      </c>
      <c r="H110" s="24">
        <v>0.52569999999999995</v>
      </c>
      <c r="I110" s="135"/>
      <c r="J110" s="135"/>
      <c r="K110" s="135"/>
      <c r="L110" s="135"/>
      <c r="M110" s="135"/>
      <c r="N110" s="74"/>
      <c r="O110" s="73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</row>
    <row r="111" spans="1:105" x14ac:dyDescent="0.25">
      <c r="A111" s="73"/>
      <c r="B111" s="73"/>
      <c r="C111" s="73"/>
      <c r="D111" s="73"/>
      <c r="E111" s="73"/>
      <c r="F111" s="115" t="s">
        <v>150</v>
      </c>
      <c r="G111" s="115" t="s">
        <v>44</v>
      </c>
      <c r="H111" s="24">
        <v>0.52569999999999995</v>
      </c>
      <c r="I111" s="135"/>
      <c r="J111" s="135"/>
      <c r="K111" s="135"/>
      <c r="L111" s="135"/>
      <c r="M111" s="135"/>
      <c r="N111" s="74"/>
      <c r="O111" s="73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</row>
    <row r="112" spans="1:105" x14ac:dyDescent="0.25">
      <c r="A112" s="73"/>
      <c r="B112" s="73"/>
      <c r="C112" s="73"/>
      <c r="D112" s="73"/>
      <c r="E112" s="73"/>
      <c r="F112" s="115" t="s">
        <v>151</v>
      </c>
      <c r="G112" s="115" t="s">
        <v>44</v>
      </c>
      <c r="H112" s="24">
        <v>0.52569999999999995</v>
      </c>
      <c r="I112" s="135"/>
      <c r="J112" s="135"/>
      <c r="K112" s="135"/>
      <c r="L112" s="135"/>
      <c r="M112" s="135"/>
      <c r="N112" s="74"/>
      <c r="O112" s="73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</row>
    <row r="113" spans="1:105" x14ac:dyDescent="0.25">
      <c r="A113" s="73"/>
      <c r="B113" s="73"/>
      <c r="C113" s="73"/>
      <c r="D113" s="73"/>
      <c r="E113" s="73"/>
      <c r="F113" s="115" t="s">
        <v>152</v>
      </c>
      <c r="G113" s="115" t="s">
        <v>44</v>
      </c>
      <c r="H113" s="24">
        <v>0.52569999999999995</v>
      </c>
      <c r="I113" s="135"/>
      <c r="J113" s="135"/>
      <c r="K113" s="135"/>
      <c r="L113" s="135"/>
      <c r="M113" s="135"/>
      <c r="N113" s="74"/>
      <c r="O113" s="73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</row>
    <row r="114" spans="1:105" x14ac:dyDescent="0.25">
      <c r="A114" s="73"/>
      <c r="B114" s="73"/>
      <c r="C114" s="73"/>
      <c r="D114" s="73"/>
      <c r="E114" s="73"/>
      <c r="F114" s="115" t="s">
        <v>153</v>
      </c>
      <c r="G114" s="115" t="s">
        <v>44</v>
      </c>
      <c r="H114" s="24">
        <v>0.52569999999999995</v>
      </c>
      <c r="I114" s="135"/>
      <c r="J114" s="135"/>
      <c r="K114" s="135"/>
      <c r="L114" s="135"/>
      <c r="M114" s="135"/>
      <c r="N114" s="74"/>
      <c r="O114" s="73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</row>
    <row r="115" spans="1:105" x14ac:dyDescent="0.25">
      <c r="A115" s="73"/>
      <c r="B115" s="73"/>
      <c r="C115" s="73"/>
      <c r="D115" s="73"/>
      <c r="E115" s="73"/>
      <c r="F115" s="115" t="s">
        <v>154</v>
      </c>
      <c r="G115" s="115" t="s">
        <v>44</v>
      </c>
      <c r="H115" s="24">
        <v>0.52569999999999995</v>
      </c>
      <c r="I115" s="135"/>
      <c r="J115" s="135"/>
      <c r="K115" s="135"/>
      <c r="L115" s="135"/>
      <c r="M115" s="135"/>
      <c r="N115" s="74"/>
      <c r="O115" s="73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</row>
    <row r="116" spans="1:105" x14ac:dyDescent="0.25">
      <c r="A116" s="73"/>
      <c r="B116" s="73"/>
      <c r="C116" s="73"/>
      <c r="D116" s="73"/>
      <c r="E116" s="73"/>
      <c r="F116" s="115" t="s">
        <v>155</v>
      </c>
      <c r="G116" s="115" t="s">
        <v>44</v>
      </c>
      <c r="H116" s="24"/>
      <c r="I116" s="135"/>
      <c r="J116" s="135"/>
      <c r="K116" s="135"/>
      <c r="L116" s="135"/>
      <c r="M116" s="135"/>
      <c r="N116" s="74"/>
      <c r="O116" s="73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</row>
    <row r="117" spans="1:105" x14ac:dyDescent="0.25">
      <c r="A117" s="73"/>
      <c r="B117" s="73"/>
      <c r="C117" s="73"/>
      <c r="D117" s="73"/>
      <c r="E117" s="73"/>
      <c r="F117" s="115" t="s">
        <v>156</v>
      </c>
      <c r="G117" s="115" t="s">
        <v>44</v>
      </c>
      <c r="H117" s="24">
        <v>0.57699999999999996</v>
      </c>
      <c r="I117" s="135"/>
      <c r="J117" s="135"/>
      <c r="K117" s="135"/>
      <c r="L117" s="135"/>
      <c r="M117" s="135"/>
      <c r="N117" s="74"/>
      <c r="O117" s="73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</row>
    <row r="118" spans="1:105" x14ac:dyDescent="0.25">
      <c r="A118" s="73"/>
      <c r="B118" s="73"/>
      <c r="C118" s="73"/>
      <c r="D118" s="73"/>
      <c r="E118" s="73"/>
      <c r="F118" s="115" t="s">
        <v>157</v>
      </c>
      <c r="G118" s="115" t="s">
        <v>44</v>
      </c>
      <c r="H118" s="24"/>
      <c r="I118" s="135"/>
      <c r="J118" s="135"/>
      <c r="K118" s="135"/>
      <c r="L118" s="135"/>
      <c r="M118" s="135"/>
      <c r="N118" s="74"/>
      <c r="O118" s="73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</row>
    <row r="119" spans="1:105" x14ac:dyDescent="0.25">
      <c r="A119" s="73"/>
      <c r="B119" s="73"/>
      <c r="C119" s="73"/>
      <c r="D119" s="73"/>
      <c r="E119" s="73"/>
      <c r="F119" s="115" t="s">
        <v>158</v>
      </c>
      <c r="G119" s="115" t="s">
        <v>44</v>
      </c>
      <c r="H119" s="24"/>
      <c r="I119" s="135"/>
      <c r="J119" s="135"/>
      <c r="K119" s="135"/>
      <c r="L119" s="135"/>
      <c r="M119" s="135"/>
      <c r="N119" s="74"/>
      <c r="O119" s="73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</row>
    <row r="120" spans="1:105" x14ac:dyDescent="0.25">
      <c r="A120" s="73"/>
      <c r="B120" s="73"/>
      <c r="C120" s="73"/>
      <c r="D120" s="73"/>
      <c r="E120" s="73"/>
      <c r="F120" s="115" t="s">
        <v>159</v>
      </c>
      <c r="G120" s="115" t="s">
        <v>44</v>
      </c>
      <c r="H120" s="24"/>
      <c r="I120" s="135"/>
      <c r="J120" s="135"/>
      <c r="K120" s="135"/>
      <c r="L120" s="135"/>
      <c r="M120" s="135"/>
      <c r="N120" s="74"/>
      <c r="O120" s="73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</row>
    <row r="121" spans="1:105" x14ac:dyDescent="0.25">
      <c r="A121" s="73"/>
      <c r="B121" s="73"/>
      <c r="C121" s="73"/>
      <c r="D121" s="73"/>
      <c r="E121" s="73"/>
      <c r="F121" s="115" t="s">
        <v>160</v>
      </c>
      <c r="G121" s="115" t="s">
        <v>44</v>
      </c>
      <c r="H121" s="24"/>
      <c r="I121" s="135"/>
      <c r="J121" s="135"/>
      <c r="K121" s="135"/>
      <c r="L121" s="135"/>
      <c r="M121" s="135"/>
      <c r="N121" s="74"/>
      <c r="O121" s="73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</row>
    <row r="122" spans="1:105" x14ac:dyDescent="0.25">
      <c r="A122" s="73"/>
      <c r="B122" s="73"/>
      <c r="C122" s="73"/>
      <c r="D122" s="73"/>
      <c r="E122" s="73"/>
      <c r="F122" s="115" t="s">
        <v>161</v>
      </c>
      <c r="G122" s="115" t="s">
        <v>44</v>
      </c>
      <c r="H122" s="24"/>
      <c r="I122" s="135"/>
      <c r="J122" s="135"/>
      <c r="K122" s="135"/>
      <c r="L122" s="135"/>
      <c r="M122" s="135"/>
      <c r="N122" s="74"/>
      <c r="O122" s="73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</row>
    <row r="123" spans="1:105" x14ac:dyDescent="0.25">
      <c r="A123" s="73"/>
      <c r="B123" s="73"/>
      <c r="C123" s="73"/>
      <c r="D123" s="73"/>
      <c r="E123" s="73"/>
      <c r="F123" s="115" t="s">
        <v>162</v>
      </c>
      <c r="G123" s="115" t="s">
        <v>44</v>
      </c>
      <c r="H123" s="24"/>
      <c r="I123" s="135"/>
      <c r="J123" s="135"/>
      <c r="K123" s="135"/>
      <c r="L123" s="135"/>
      <c r="M123" s="135"/>
      <c r="N123" s="74"/>
      <c r="O123" s="73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</row>
    <row r="124" spans="1:105" x14ac:dyDescent="0.25">
      <c r="A124" s="73"/>
      <c r="B124" s="73"/>
      <c r="C124" s="73"/>
      <c r="D124" s="73"/>
      <c r="E124" s="73"/>
      <c r="F124" s="115" t="s">
        <v>163</v>
      </c>
      <c r="G124" s="115" t="s">
        <v>44</v>
      </c>
      <c r="H124" s="24"/>
      <c r="I124" s="135"/>
      <c r="J124" s="135"/>
      <c r="K124" s="135"/>
      <c r="L124" s="135"/>
      <c r="M124" s="135"/>
      <c r="N124" s="74"/>
      <c r="O124" s="73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</row>
    <row r="125" spans="1:105" x14ac:dyDescent="0.25">
      <c r="A125" s="73"/>
      <c r="B125" s="73"/>
      <c r="C125" s="73"/>
      <c r="D125" s="73"/>
      <c r="E125" s="73"/>
      <c r="F125" s="115" t="s">
        <v>164</v>
      </c>
      <c r="G125" s="115" t="s">
        <v>44</v>
      </c>
      <c r="H125" s="24"/>
      <c r="I125" s="135"/>
      <c r="J125" s="135"/>
      <c r="K125" s="135"/>
      <c r="L125" s="135"/>
      <c r="M125" s="135"/>
      <c r="N125" s="74"/>
      <c r="O125" s="73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</row>
    <row r="126" spans="1:105" x14ac:dyDescent="0.25">
      <c r="A126" s="73"/>
      <c r="B126" s="73"/>
      <c r="C126" s="73"/>
      <c r="D126" s="73"/>
      <c r="E126" s="73"/>
      <c r="F126" s="115" t="s">
        <v>189</v>
      </c>
      <c r="G126" s="115" t="s">
        <v>44</v>
      </c>
      <c r="H126" s="24"/>
      <c r="I126" s="135"/>
      <c r="J126" s="135"/>
      <c r="K126" s="135"/>
      <c r="L126" s="135"/>
      <c r="M126" s="135"/>
      <c r="N126" s="74"/>
      <c r="O126" s="73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</row>
    <row r="127" spans="1:105" s="17" customFormat="1" x14ac:dyDescent="0.25">
      <c r="A127" s="73"/>
      <c r="B127" s="73"/>
      <c r="C127" s="73"/>
      <c r="D127" s="73"/>
      <c r="E127" s="73"/>
      <c r="F127" s="115" t="s">
        <v>743</v>
      </c>
      <c r="G127" s="216" t="s">
        <v>44</v>
      </c>
      <c r="H127" s="24"/>
      <c r="I127" s="135"/>
      <c r="J127" s="135"/>
      <c r="K127" s="135"/>
      <c r="L127" s="135"/>
      <c r="M127" s="135"/>
      <c r="N127" s="74"/>
      <c r="O127" s="73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</row>
    <row r="128" spans="1:105" x14ac:dyDescent="0.25">
      <c r="A128" s="73"/>
      <c r="B128" s="73"/>
      <c r="C128" s="73"/>
      <c r="D128" s="73"/>
      <c r="E128" s="73"/>
      <c r="F128" s="117" t="s">
        <v>742</v>
      </c>
      <c r="G128" s="217" t="s">
        <v>44</v>
      </c>
      <c r="H128" s="29"/>
      <c r="I128" s="135"/>
      <c r="J128" s="135"/>
      <c r="K128" s="135"/>
      <c r="L128" s="135"/>
      <c r="M128" s="135"/>
      <c r="N128" s="74"/>
      <c r="O128" s="73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</row>
    <row r="129" spans="1:105" x14ac:dyDescent="0.25">
      <c r="A129" s="73"/>
      <c r="B129" s="73"/>
      <c r="C129" s="73"/>
      <c r="D129" s="73"/>
      <c r="E129" s="73"/>
      <c r="F129" s="73"/>
      <c r="G129" s="73"/>
      <c r="H129" s="74"/>
      <c r="I129" s="74"/>
      <c r="J129" s="74"/>
      <c r="K129" s="74"/>
      <c r="L129" s="74"/>
      <c r="M129" s="74"/>
      <c r="N129" s="74"/>
      <c r="O129" s="73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</row>
    <row r="130" spans="1:105" x14ac:dyDescent="0.25">
      <c r="A130" s="101"/>
      <c r="B130" s="101"/>
      <c r="C130" s="110" t="s">
        <v>617</v>
      </c>
      <c r="D130" s="110"/>
      <c r="E130" s="110"/>
      <c r="F130" s="110"/>
      <c r="G130" s="110"/>
      <c r="H130" s="111"/>
      <c r="I130" s="111"/>
      <c r="J130" s="111"/>
      <c r="K130" s="111"/>
      <c r="L130" s="111"/>
      <c r="M130" s="111"/>
      <c r="N130" s="111"/>
      <c r="O130" s="110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</row>
    <row r="131" spans="1:105" x14ac:dyDescent="0.25">
      <c r="A131" s="73"/>
      <c r="B131" s="73"/>
      <c r="C131" s="109"/>
      <c r="D131" s="109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3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</row>
    <row r="132" spans="1:105" x14ac:dyDescent="0.25">
      <c r="A132" s="73"/>
      <c r="B132" s="73"/>
      <c r="C132" s="109"/>
      <c r="D132" s="109" t="s">
        <v>561</v>
      </c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3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</row>
    <row r="133" spans="1:105" x14ac:dyDescent="0.25">
      <c r="A133" s="73"/>
      <c r="B133" s="73"/>
      <c r="C133" s="109"/>
      <c r="D133" s="109" t="s">
        <v>689</v>
      </c>
      <c r="E133" s="73"/>
      <c r="F133" s="73"/>
      <c r="G133" s="73"/>
      <c r="H133" s="74"/>
      <c r="I133" s="74"/>
      <c r="J133" s="74"/>
      <c r="K133" s="74"/>
      <c r="L133" s="74"/>
      <c r="M133" s="74"/>
      <c r="N133" s="74"/>
      <c r="O133" s="73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</row>
    <row r="134" spans="1:105" x14ac:dyDescent="0.25">
      <c r="A134" s="73"/>
      <c r="B134" s="73"/>
      <c r="C134" s="109"/>
      <c r="D134" s="109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3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</row>
    <row r="135" spans="1:105" x14ac:dyDescent="0.25">
      <c r="A135" s="73"/>
      <c r="B135" s="73"/>
      <c r="C135" s="73"/>
      <c r="D135" s="109"/>
      <c r="E135" s="112" t="s">
        <v>190</v>
      </c>
      <c r="F135" s="73"/>
      <c r="G135" s="73"/>
      <c r="H135" s="74"/>
      <c r="I135" s="74"/>
      <c r="J135" s="74"/>
      <c r="K135" s="74"/>
      <c r="L135" s="74"/>
      <c r="M135" s="74"/>
      <c r="N135" s="74"/>
      <c r="O135" s="73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</row>
    <row r="136" spans="1:105" x14ac:dyDescent="0.25">
      <c r="A136" s="73"/>
      <c r="B136" s="73"/>
      <c r="C136" s="73"/>
      <c r="D136" s="73"/>
      <c r="E136" s="73"/>
      <c r="F136" s="113" t="s">
        <v>180</v>
      </c>
      <c r="G136" s="113" t="s">
        <v>191</v>
      </c>
      <c r="H136" s="30">
        <v>1</v>
      </c>
      <c r="I136" s="136"/>
      <c r="J136" s="136"/>
      <c r="K136" s="136"/>
      <c r="L136" s="136"/>
      <c r="M136" s="136"/>
      <c r="N136" s="74"/>
      <c r="O136" s="73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</row>
    <row r="137" spans="1:105" x14ac:dyDescent="0.25">
      <c r="A137" s="73"/>
      <c r="B137" s="73"/>
      <c r="C137" s="73"/>
      <c r="D137" s="73"/>
      <c r="E137" s="73"/>
      <c r="F137" s="117" t="s">
        <v>182</v>
      </c>
      <c r="G137" s="117" t="s">
        <v>191</v>
      </c>
      <c r="H137" s="31"/>
      <c r="I137" s="136"/>
      <c r="J137" s="136"/>
      <c r="K137" s="136"/>
      <c r="L137" s="136"/>
      <c r="M137" s="136"/>
      <c r="N137" s="74"/>
      <c r="O137" s="73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</row>
    <row r="138" spans="1:105" x14ac:dyDescent="0.25">
      <c r="A138" s="73"/>
      <c r="B138" s="73"/>
      <c r="C138" s="73"/>
      <c r="D138" s="73"/>
      <c r="E138" s="73"/>
      <c r="F138" s="73"/>
      <c r="G138" s="73"/>
      <c r="H138" s="74"/>
      <c r="I138" s="74"/>
      <c r="J138" s="74"/>
      <c r="K138" s="74"/>
      <c r="L138" s="74"/>
      <c r="M138" s="74"/>
      <c r="N138" s="74"/>
      <c r="O138" s="73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</row>
    <row r="139" spans="1:105" x14ac:dyDescent="0.25">
      <c r="A139" s="115"/>
      <c r="B139" s="73"/>
      <c r="C139" s="73"/>
      <c r="D139" s="73"/>
      <c r="E139" s="112" t="s">
        <v>692</v>
      </c>
      <c r="F139" s="73"/>
      <c r="G139" s="73"/>
      <c r="H139" s="74"/>
      <c r="I139" s="132" t="s">
        <v>314</v>
      </c>
      <c r="J139" s="132"/>
      <c r="K139" s="132"/>
      <c r="L139" s="132"/>
      <c r="M139" s="132"/>
      <c r="N139" s="132"/>
      <c r="O139" s="115" t="s">
        <v>416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</row>
    <row r="140" spans="1:105" x14ac:dyDescent="0.25">
      <c r="A140" s="73"/>
      <c r="B140" s="73"/>
      <c r="C140" s="73"/>
      <c r="D140" s="73"/>
      <c r="E140" s="73"/>
      <c r="F140" s="113" t="s">
        <v>134</v>
      </c>
      <c r="G140" s="113" t="s">
        <v>191</v>
      </c>
      <c r="H140" s="30">
        <v>1</v>
      </c>
      <c r="I140" s="136"/>
      <c r="J140" s="136"/>
      <c r="K140" s="136"/>
      <c r="L140" s="136"/>
      <c r="M140" s="136"/>
      <c r="N140" s="74"/>
      <c r="O140" s="73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</row>
    <row r="141" spans="1:105" x14ac:dyDescent="0.25">
      <c r="A141" s="73"/>
      <c r="B141" s="73"/>
      <c r="C141" s="73"/>
      <c r="D141" s="73"/>
      <c r="E141" s="73"/>
      <c r="F141" s="115" t="s">
        <v>135</v>
      </c>
      <c r="G141" s="115" t="s">
        <v>191</v>
      </c>
      <c r="H141" s="32">
        <v>1</v>
      </c>
      <c r="I141" s="136"/>
      <c r="J141" s="136"/>
      <c r="K141" s="136"/>
      <c r="L141" s="136"/>
      <c r="M141" s="136"/>
      <c r="N141" s="74"/>
      <c r="O141" s="73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</row>
    <row r="142" spans="1:105" x14ac:dyDescent="0.25">
      <c r="A142" s="73"/>
      <c r="B142" s="73"/>
      <c r="C142" s="73"/>
      <c r="D142" s="73"/>
      <c r="E142" s="73"/>
      <c r="F142" s="115" t="s">
        <v>136</v>
      </c>
      <c r="G142" s="115" t="s">
        <v>191</v>
      </c>
      <c r="H142" s="32">
        <v>1</v>
      </c>
      <c r="I142" s="136"/>
      <c r="J142" s="136"/>
      <c r="K142" s="136"/>
      <c r="L142" s="136"/>
      <c r="M142" s="136"/>
      <c r="N142" s="74"/>
      <c r="O142" s="73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</row>
    <row r="143" spans="1:105" x14ac:dyDescent="0.25">
      <c r="A143" s="73"/>
      <c r="B143" s="73"/>
      <c r="C143" s="73"/>
      <c r="D143" s="73"/>
      <c r="E143" s="73"/>
      <c r="F143" s="115" t="s">
        <v>137</v>
      </c>
      <c r="G143" s="115" t="s">
        <v>191</v>
      </c>
      <c r="H143" s="32">
        <v>1</v>
      </c>
      <c r="I143" s="136"/>
      <c r="J143" s="136"/>
      <c r="K143" s="136"/>
      <c r="L143" s="136"/>
      <c r="M143" s="136"/>
      <c r="N143" s="74"/>
      <c r="O143" s="73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</row>
    <row r="144" spans="1:105" x14ac:dyDescent="0.25">
      <c r="A144" s="73"/>
      <c r="B144" s="73"/>
      <c r="C144" s="73"/>
      <c r="D144" s="73"/>
      <c r="E144" s="73"/>
      <c r="F144" s="115" t="s">
        <v>138</v>
      </c>
      <c r="G144" s="115" t="s">
        <v>191</v>
      </c>
      <c r="H144" s="32">
        <v>1</v>
      </c>
      <c r="I144" s="136"/>
      <c r="J144" s="136"/>
      <c r="K144" s="136"/>
      <c r="L144" s="136"/>
      <c r="M144" s="136"/>
      <c r="N144" s="74"/>
      <c r="O144" s="73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</row>
    <row r="145" spans="1:105" x14ac:dyDescent="0.25">
      <c r="A145" s="73"/>
      <c r="B145" s="73"/>
      <c r="C145" s="73"/>
      <c r="D145" s="73"/>
      <c r="E145" s="73"/>
      <c r="F145" s="115" t="s">
        <v>139</v>
      </c>
      <c r="G145" s="115" t="s">
        <v>191</v>
      </c>
      <c r="H145" s="32">
        <v>1</v>
      </c>
      <c r="I145" s="136"/>
      <c r="J145" s="136"/>
      <c r="K145" s="136"/>
      <c r="L145" s="136"/>
      <c r="M145" s="136"/>
      <c r="N145" s="74"/>
      <c r="O145" s="73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</row>
    <row r="146" spans="1:105" x14ac:dyDescent="0.25">
      <c r="A146" s="73"/>
      <c r="B146" s="73"/>
      <c r="C146" s="73"/>
      <c r="D146" s="73"/>
      <c r="E146" s="73"/>
      <c r="F146" s="115" t="s">
        <v>140</v>
      </c>
      <c r="G146" s="115" t="s">
        <v>191</v>
      </c>
      <c r="H146" s="32"/>
      <c r="I146" s="136"/>
      <c r="J146" s="136"/>
      <c r="K146" s="136"/>
      <c r="L146" s="136"/>
      <c r="M146" s="136"/>
      <c r="N146" s="74"/>
      <c r="O146" s="73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</row>
    <row r="147" spans="1:105" x14ac:dyDescent="0.25">
      <c r="A147" s="73"/>
      <c r="B147" s="73"/>
      <c r="C147" s="73"/>
      <c r="D147" s="73"/>
      <c r="E147" s="73"/>
      <c r="F147" s="115" t="s">
        <v>141</v>
      </c>
      <c r="G147" s="115" t="s">
        <v>191</v>
      </c>
      <c r="H147" s="32"/>
      <c r="I147" s="136"/>
      <c r="J147" s="136"/>
      <c r="K147" s="136"/>
      <c r="L147" s="136"/>
      <c r="M147" s="136"/>
      <c r="N147" s="74"/>
      <c r="O147" s="73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</row>
    <row r="148" spans="1:105" x14ac:dyDescent="0.25">
      <c r="A148" s="73"/>
      <c r="B148" s="73"/>
      <c r="C148" s="73"/>
      <c r="D148" s="73"/>
      <c r="E148" s="73"/>
      <c r="F148" s="115" t="s">
        <v>142</v>
      </c>
      <c r="G148" s="115" t="s">
        <v>191</v>
      </c>
      <c r="H148" s="32"/>
      <c r="I148" s="136"/>
      <c r="J148" s="136"/>
      <c r="K148" s="136"/>
      <c r="L148" s="136"/>
      <c r="M148" s="136"/>
      <c r="N148" s="74"/>
      <c r="O148" s="73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</row>
    <row r="149" spans="1:105" x14ac:dyDescent="0.25">
      <c r="A149" s="73"/>
      <c r="B149" s="73"/>
      <c r="C149" s="73"/>
      <c r="D149" s="73"/>
      <c r="E149" s="73"/>
      <c r="F149" s="115" t="s">
        <v>143</v>
      </c>
      <c r="G149" s="115" t="s">
        <v>191</v>
      </c>
      <c r="H149" s="32"/>
      <c r="I149" s="136"/>
      <c r="J149" s="136"/>
      <c r="K149" s="136"/>
      <c r="L149" s="136"/>
      <c r="M149" s="136"/>
      <c r="N149" s="74"/>
      <c r="O149" s="73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</row>
    <row r="150" spans="1:105" x14ac:dyDescent="0.25">
      <c r="A150" s="73"/>
      <c r="B150" s="73"/>
      <c r="C150" s="73"/>
      <c r="D150" s="73"/>
      <c r="E150" s="73"/>
      <c r="F150" s="115" t="s">
        <v>144</v>
      </c>
      <c r="G150" s="115" t="s">
        <v>191</v>
      </c>
      <c r="H150" s="32"/>
      <c r="I150" s="136"/>
      <c r="J150" s="136"/>
      <c r="K150" s="136"/>
      <c r="L150" s="136"/>
      <c r="M150" s="136"/>
      <c r="N150" s="74"/>
      <c r="O150" s="73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</row>
    <row r="151" spans="1:105" x14ac:dyDescent="0.25">
      <c r="A151" s="73"/>
      <c r="B151" s="73"/>
      <c r="C151" s="73"/>
      <c r="D151" s="73"/>
      <c r="E151" s="73"/>
      <c r="F151" s="115" t="s">
        <v>188</v>
      </c>
      <c r="G151" s="115" t="s">
        <v>191</v>
      </c>
      <c r="H151" s="32"/>
      <c r="I151" s="136"/>
      <c r="J151" s="136"/>
      <c r="K151" s="136"/>
      <c r="L151" s="136"/>
      <c r="M151" s="136"/>
      <c r="N151" s="74"/>
      <c r="O151" s="73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</row>
    <row r="152" spans="1:105" x14ac:dyDescent="0.25">
      <c r="A152" s="73"/>
      <c r="B152" s="73"/>
      <c r="C152" s="73"/>
      <c r="D152" s="73"/>
      <c r="E152" s="73"/>
      <c r="F152" s="115" t="s">
        <v>146</v>
      </c>
      <c r="G152" s="115" t="s">
        <v>191</v>
      </c>
      <c r="H152" s="32"/>
      <c r="I152" s="136"/>
      <c r="J152" s="136"/>
      <c r="K152" s="136"/>
      <c r="L152" s="136"/>
      <c r="M152" s="136"/>
      <c r="N152" s="74"/>
      <c r="O152" s="73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</row>
    <row r="153" spans="1:105" x14ac:dyDescent="0.25">
      <c r="A153" s="73"/>
      <c r="B153" s="73"/>
      <c r="C153" s="73"/>
      <c r="D153" s="73"/>
      <c r="E153" s="73"/>
      <c r="F153" s="115" t="s">
        <v>147</v>
      </c>
      <c r="G153" s="115" t="s">
        <v>191</v>
      </c>
      <c r="H153" s="32"/>
      <c r="I153" s="136"/>
      <c r="J153" s="136"/>
      <c r="K153" s="136"/>
      <c r="L153" s="136"/>
      <c r="M153" s="136"/>
      <c r="N153" s="74"/>
      <c r="O153" s="73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</row>
    <row r="154" spans="1:105" x14ac:dyDescent="0.25">
      <c r="A154" s="73"/>
      <c r="B154" s="73"/>
      <c r="C154" s="73"/>
      <c r="D154" s="73"/>
      <c r="E154" s="73"/>
      <c r="F154" s="115" t="s">
        <v>148</v>
      </c>
      <c r="G154" s="115" t="s">
        <v>191</v>
      </c>
      <c r="H154" s="32"/>
      <c r="I154" s="136"/>
      <c r="J154" s="136"/>
      <c r="K154" s="136"/>
      <c r="L154" s="136"/>
      <c r="M154" s="136"/>
      <c r="N154" s="74"/>
      <c r="O154" s="73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</row>
    <row r="155" spans="1:105" x14ac:dyDescent="0.25">
      <c r="A155" s="73"/>
      <c r="B155" s="73"/>
      <c r="C155" s="73"/>
      <c r="D155" s="73"/>
      <c r="E155" s="73"/>
      <c r="F155" s="115" t="s">
        <v>149</v>
      </c>
      <c r="G155" s="115" t="s">
        <v>191</v>
      </c>
      <c r="H155" s="32"/>
      <c r="I155" s="136"/>
      <c r="J155" s="136"/>
      <c r="K155" s="136"/>
      <c r="L155" s="136"/>
      <c r="M155" s="136"/>
      <c r="N155" s="74"/>
      <c r="O155" s="73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</row>
    <row r="156" spans="1:105" x14ac:dyDescent="0.25">
      <c r="A156" s="73"/>
      <c r="B156" s="73"/>
      <c r="C156" s="73"/>
      <c r="D156" s="73"/>
      <c r="E156" s="73"/>
      <c r="F156" s="115" t="s">
        <v>150</v>
      </c>
      <c r="G156" s="115" t="s">
        <v>191</v>
      </c>
      <c r="H156" s="32"/>
      <c r="I156" s="136"/>
      <c r="J156" s="136"/>
      <c r="K156" s="136"/>
      <c r="L156" s="136"/>
      <c r="M156" s="136"/>
      <c r="N156" s="74"/>
      <c r="O156" s="73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</row>
    <row r="157" spans="1:105" x14ac:dyDescent="0.25">
      <c r="A157" s="73"/>
      <c r="B157" s="73"/>
      <c r="C157" s="73"/>
      <c r="D157" s="73"/>
      <c r="E157" s="73"/>
      <c r="F157" s="115" t="s">
        <v>151</v>
      </c>
      <c r="G157" s="115" t="s">
        <v>191</v>
      </c>
      <c r="H157" s="32"/>
      <c r="I157" s="136"/>
      <c r="J157" s="136"/>
      <c r="K157" s="136"/>
      <c r="L157" s="136"/>
      <c r="M157" s="136"/>
      <c r="N157" s="74"/>
      <c r="O157" s="73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</row>
    <row r="158" spans="1:105" x14ac:dyDescent="0.25">
      <c r="A158" s="73"/>
      <c r="B158" s="73"/>
      <c r="C158" s="73"/>
      <c r="D158" s="73"/>
      <c r="E158" s="73"/>
      <c r="F158" s="115" t="s">
        <v>152</v>
      </c>
      <c r="G158" s="115" t="s">
        <v>191</v>
      </c>
      <c r="H158" s="32"/>
      <c r="I158" s="136"/>
      <c r="J158" s="136"/>
      <c r="K158" s="136"/>
      <c r="L158" s="136"/>
      <c r="M158" s="136"/>
      <c r="N158" s="74"/>
      <c r="O158" s="73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</row>
    <row r="159" spans="1:105" x14ac:dyDescent="0.25">
      <c r="A159" s="73"/>
      <c r="B159" s="73"/>
      <c r="C159" s="73"/>
      <c r="D159" s="73"/>
      <c r="E159" s="73"/>
      <c r="F159" s="115" t="s">
        <v>153</v>
      </c>
      <c r="G159" s="115" t="s">
        <v>191</v>
      </c>
      <c r="H159" s="32"/>
      <c r="I159" s="136"/>
      <c r="J159" s="136"/>
      <c r="K159" s="136"/>
      <c r="L159" s="136"/>
      <c r="M159" s="136"/>
      <c r="N159" s="74"/>
      <c r="O159" s="73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</row>
    <row r="160" spans="1:105" x14ac:dyDescent="0.25">
      <c r="A160" s="73"/>
      <c r="B160" s="73"/>
      <c r="C160" s="73"/>
      <c r="D160" s="73"/>
      <c r="E160" s="73"/>
      <c r="F160" s="115" t="s">
        <v>154</v>
      </c>
      <c r="G160" s="115" t="s">
        <v>191</v>
      </c>
      <c r="H160" s="32"/>
      <c r="I160" s="136"/>
      <c r="J160" s="136"/>
      <c r="K160" s="136"/>
      <c r="L160" s="136"/>
      <c r="M160" s="136"/>
      <c r="N160" s="74"/>
      <c r="O160" s="73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</row>
    <row r="161" spans="1:105" x14ac:dyDescent="0.25">
      <c r="A161" s="73"/>
      <c r="B161" s="73"/>
      <c r="C161" s="73"/>
      <c r="D161" s="73"/>
      <c r="E161" s="73"/>
      <c r="F161" s="115" t="s">
        <v>155</v>
      </c>
      <c r="G161" s="115" t="s">
        <v>191</v>
      </c>
      <c r="H161" s="32">
        <v>1</v>
      </c>
      <c r="I161" s="136"/>
      <c r="J161" s="136"/>
      <c r="K161" s="136"/>
      <c r="L161" s="136"/>
      <c r="M161" s="136"/>
      <c r="N161" s="74"/>
      <c r="O161" s="73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</row>
    <row r="162" spans="1:105" x14ac:dyDescent="0.25">
      <c r="A162" s="73"/>
      <c r="B162" s="73"/>
      <c r="C162" s="73"/>
      <c r="D162" s="73"/>
      <c r="E162" s="73"/>
      <c r="F162" s="115" t="s">
        <v>156</v>
      </c>
      <c r="G162" s="115" t="s">
        <v>191</v>
      </c>
      <c r="H162" s="32">
        <v>1</v>
      </c>
      <c r="I162" s="136"/>
      <c r="J162" s="136"/>
      <c r="K162" s="136"/>
      <c r="L162" s="136"/>
      <c r="M162" s="136"/>
      <c r="N162" s="74"/>
      <c r="O162" s="73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</row>
    <row r="163" spans="1:105" x14ac:dyDescent="0.25">
      <c r="A163" s="73"/>
      <c r="B163" s="73"/>
      <c r="C163" s="73"/>
      <c r="D163" s="73"/>
      <c r="E163" s="73"/>
      <c r="F163" s="115" t="s">
        <v>157</v>
      </c>
      <c r="G163" s="115" t="s">
        <v>191</v>
      </c>
      <c r="H163" s="32">
        <v>1</v>
      </c>
      <c r="I163" s="136"/>
      <c r="J163" s="136"/>
      <c r="K163" s="136"/>
      <c r="L163" s="136"/>
      <c r="M163" s="136"/>
      <c r="N163" s="74"/>
      <c r="O163" s="73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</row>
    <row r="164" spans="1:105" x14ac:dyDescent="0.25">
      <c r="A164" s="73"/>
      <c r="B164" s="73"/>
      <c r="C164" s="73"/>
      <c r="D164" s="73"/>
      <c r="E164" s="73"/>
      <c r="F164" s="115" t="s">
        <v>158</v>
      </c>
      <c r="G164" s="115" t="s">
        <v>191</v>
      </c>
      <c r="H164" s="32">
        <v>1</v>
      </c>
      <c r="I164" s="136"/>
      <c r="J164" s="136"/>
      <c r="K164" s="136"/>
      <c r="L164" s="136"/>
      <c r="M164" s="136"/>
      <c r="N164" s="74"/>
      <c r="O164" s="73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</row>
    <row r="165" spans="1:105" x14ac:dyDescent="0.25">
      <c r="A165" s="73"/>
      <c r="B165" s="73"/>
      <c r="C165" s="73"/>
      <c r="D165" s="73"/>
      <c r="E165" s="73"/>
      <c r="F165" s="115" t="s">
        <v>159</v>
      </c>
      <c r="G165" s="115" t="s">
        <v>191</v>
      </c>
      <c r="H165" s="32">
        <v>1</v>
      </c>
      <c r="I165" s="136"/>
      <c r="J165" s="136"/>
      <c r="K165" s="136"/>
      <c r="L165" s="136"/>
      <c r="M165" s="136"/>
      <c r="N165" s="74"/>
      <c r="O165" s="73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</row>
    <row r="166" spans="1:105" x14ac:dyDescent="0.25">
      <c r="A166" s="73"/>
      <c r="B166" s="73"/>
      <c r="C166" s="73"/>
      <c r="D166" s="73"/>
      <c r="E166" s="73"/>
      <c r="F166" s="115" t="s">
        <v>160</v>
      </c>
      <c r="G166" s="115" t="s">
        <v>191</v>
      </c>
      <c r="H166" s="32">
        <v>1</v>
      </c>
      <c r="I166" s="136"/>
      <c r="J166" s="136"/>
      <c r="K166" s="136"/>
      <c r="L166" s="136"/>
      <c r="M166" s="136"/>
      <c r="N166" s="74"/>
      <c r="O166" s="73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</row>
    <row r="167" spans="1:105" x14ac:dyDescent="0.25">
      <c r="A167" s="73"/>
      <c r="B167" s="73"/>
      <c r="C167" s="73"/>
      <c r="D167" s="73"/>
      <c r="E167" s="73"/>
      <c r="F167" s="115" t="s">
        <v>161</v>
      </c>
      <c r="G167" s="115" t="s">
        <v>191</v>
      </c>
      <c r="H167" s="32">
        <v>1</v>
      </c>
      <c r="I167" s="136"/>
      <c r="J167" s="136"/>
      <c r="K167" s="136"/>
      <c r="L167" s="136"/>
      <c r="M167" s="136"/>
      <c r="N167" s="74"/>
      <c r="O167" s="73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</row>
    <row r="168" spans="1:105" x14ac:dyDescent="0.25">
      <c r="A168" s="73"/>
      <c r="B168" s="73"/>
      <c r="C168" s="73"/>
      <c r="D168" s="73"/>
      <c r="E168" s="73"/>
      <c r="F168" s="115" t="s">
        <v>162</v>
      </c>
      <c r="G168" s="115" t="s">
        <v>191</v>
      </c>
      <c r="H168" s="32">
        <v>1</v>
      </c>
      <c r="I168" s="136"/>
      <c r="J168" s="136"/>
      <c r="K168" s="136"/>
      <c r="L168" s="136"/>
      <c r="M168" s="136"/>
      <c r="N168" s="74"/>
      <c r="O168" s="73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</row>
    <row r="169" spans="1:105" x14ac:dyDescent="0.25">
      <c r="A169" s="73"/>
      <c r="B169" s="73"/>
      <c r="C169" s="73"/>
      <c r="D169" s="73"/>
      <c r="E169" s="73"/>
      <c r="F169" s="115" t="s">
        <v>163</v>
      </c>
      <c r="G169" s="115" t="s">
        <v>191</v>
      </c>
      <c r="H169" s="32">
        <v>1</v>
      </c>
      <c r="I169" s="136"/>
      <c r="J169" s="136"/>
      <c r="K169" s="136"/>
      <c r="L169" s="136"/>
      <c r="M169" s="136"/>
      <c r="N169" s="74"/>
      <c r="O169" s="73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</row>
    <row r="170" spans="1:105" x14ac:dyDescent="0.25">
      <c r="A170" s="73"/>
      <c r="B170" s="73"/>
      <c r="C170" s="73"/>
      <c r="D170" s="73"/>
      <c r="E170" s="73"/>
      <c r="F170" s="115" t="s">
        <v>164</v>
      </c>
      <c r="G170" s="115" t="s">
        <v>191</v>
      </c>
      <c r="H170" s="32">
        <v>1</v>
      </c>
      <c r="I170" s="136"/>
      <c r="J170" s="136"/>
      <c r="K170" s="136"/>
      <c r="L170" s="136"/>
      <c r="M170" s="136"/>
      <c r="N170" s="74"/>
      <c r="O170" s="73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</row>
    <row r="171" spans="1:105" x14ac:dyDescent="0.25">
      <c r="A171" s="73"/>
      <c r="B171" s="73"/>
      <c r="C171" s="73"/>
      <c r="D171" s="73"/>
      <c r="E171" s="73"/>
      <c r="F171" s="115" t="s">
        <v>189</v>
      </c>
      <c r="G171" s="115" t="s">
        <v>191</v>
      </c>
      <c r="H171" s="32">
        <v>1</v>
      </c>
      <c r="I171" s="136"/>
      <c r="J171" s="136"/>
      <c r="K171" s="136"/>
      <c r="L171" s="136"/>
      <c r="M171" s="136"/>
      <c r="N171" s="74"/>
      <c r="O171" s="73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</row>
    <row r="172" spans="1:105" s="17" customFormat="1" x14ac:dyDescent="0.25">
      <c r="A172" s="73"/>
      <c r="B172" s="73"/>
      <c r="C172" s="73"/>
      <c r="D172" s="73"/>
      <c r="E172" s="73"/>
      <c r="F172" s="115" t="s">
        <v>743</v>
      </c>
      <c r="G172" s="216" t="s">
        <v>191</v>
      </c>
      <c r="H172" s="32"/>
      <c r="I172" s="136" t="s">
        <v>314</v>
      </c>
      <c r="J172" s="136"/>
      <c r="K172" s="136"/>
      <c r="L172" s="136"/>
      <c r="M172" s="136"/>
      <c r="N172" s="74"/>
      <c r="O172" s="73" t="s">
        <v>752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</row>
    <row r="173" spans="1:105" x14ac:dyDescent="0.25">
      <c r="A173" s="73"/>
      <c r="B173" s="73"/>
      <c r="C173" s="73"/>
      <c r="D173" s="73"/>
      <c r="E173" s="73"/>
      <c r="F173" s="117" t="s">
        <v>742</v>
      </c>
      <c r="G173" s="217" t="s">
        <v>191</v>
      </c>
      <c r="H173" s="31">
        <v>1</v>
      </c>
      <c r="I173" s="136" t="s">
        <v>314</v>
      </c>
      <c r="J173" s="136"/>
      <c r="K173" s="136"/>
      <c r="L173" s="136"/>
      <c r="M173" s="136"/>
      <c r="N173" s="74"/>
      <c r="O173" s="73" t="s">
        <v>752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</row>
    <row r="174" spans="1:105" x14ac:dyDescent="0.25">
      <c r="A174" s="73"/>
      <c r="B174" s="73"/>
      <c r="C174" s="73"/>
      <c r="D174" s="73"/>
      <c r="E174" s="73"/>
      <c r="F174" s="73"/>
      <c r="G174" s="73"/>
      <c r="H174" s="74"/>
      <c r="I174" s="74"/>
      <c r="J174" s="74"/>
      <c r="K174" s="74"/>
      <c r="L174" s="74"/>
      <c r="M174" s="74"/>
      <c r="N174" s="74"/>
      <c r="O174" s="73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</row>
    <row r="175" spans="1:105" x14ac:dyDescent="0.25">
      <c r="A175" s="101"/>
      <c r="B175" s="101"/>
      <c r="C175" s="110" t="s">
        <v>679</v>
      </c>
      <c r="D175" s="110"/>
      <c r="E175" s="110"/>
      <c r="F175" s="110"/>
      <c r="G175" s="110"/>
      <c r="H175" s="111"/>
      <c r="I175" s="111"/>
      <c r="J175" s="111"/>
      <c r="K175" s="111"/>
      <c r="L175" s="111"/>
      <c r="M175" s="111"/>
      <c r="N175" s="111"/>
      <c r="O175" s="110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</row>
    <row r="176" spans="1:105" x14ac:dyDescent="0.25">
      <c r="A176" s="73"/>
      <c r="B176" s="73"/>
      <c r="C176" s="109"/>
      <c r="D176" s="109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3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</row>
    <row r="177" spans="1:105" x14ac:dyDescent="0.25">
      <c r="A177" s="73"/>
      <c r="B177" s="73"/>
      <c r="C177" s="109"/>
      <c r="D177" s="109" t="s">
        <v>690</v>
      </c>
      <c r="E177" s="73"/>
      <c r="F177" s="73"/>
      <c r="G177" s="73"/>
      <c r="H177" s="74"/>
      <c r="I177" s="74"/>
      <c r="J177" s="74"/>
      <c r="K177" s="74"/>
      <c r="L177" s="74"/>
      <c r="M177" s="74"/>
      <c r="N177" s="74"/>
      <c r="O177" s="73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</row>
    <row r="178" spans="1:105" x14ac:dyDescent="0.25">
      <c r="A178" s="73"/>
      <c r="B178" s="73"/>
      <c r="C178" s="109"/>
      <c r="D178" s="109"/>
      <c r="E178" s="73"/>
      <c r="F178" s="73"/>
      <c r="G178" s="73"/>
      <c r="H178" s="74"/>
      <c r="I178" s="74"/>
      <c r="J178" s="74"/>
      <c r="K178" s="74"/>
      <c r="L178" s="74"/>
      <c r="M178" s="74"/>
      <c r="N178" s="74"/>
      <c r="O178" s="73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</row>
    <row r="179" spans="1:105" x14ac:dyDescent="0.25">
      <c r="A179" s="73"/>
      <c r="B179" s="73"/>
      <c r="C179" s="73"/>
      <c r="D179" s="109"/>
      <c r="E179" s="112" t="s">
        <v>192</v>
      </c>
      <c r="F179" s="73"/>
      <c r="G179" s="73"/>
      <c r="H179" s="74"/>
      <c r="I179" s="74"/>
      <c r="J179" s="74"/>
      <c r="K179" s="74"/>
      <c r="L179" s="74"/>
      <c r="M179" s="74"/>
      <c r="N179" s="74"/>
      <c r="O179" s="73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</row>
    <row r="180" spans="1:105" x14ac:dyDescent="0.25">
      <c r="A180" s="73"/>
      <c r="B180" s="73"/>
      <c r="C180" s="73"/>
      <c r="D180" s="73"/>
      <c r="E180" s="73"/>
      <c r="F180" s="113" t="s">
        <v>180</v>
      </c>
      <c r="G180" s="113" t="s">
        <v>198</v>
      </c>
      <c r="H180" s="33" t="s">
        <v>193</v>
      </c>
      <c r="I180" s="134"/>
      <c r="J180" s="134"/>
      <c r="K180" s="134"/>
      <c r="L180" s="134"/>
      <c r="M180" s="134"/>
      <c r="N180" s="74"/>
      <c r="O180" s="73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</row>
    <row r="181" spans="1:105" x14ac:dyDescent="0.25">
      <c r="A181" s="73"/>
      <c r="B181" s="73"/>
      <c r="C181" s="73"/>
      <c r="D181" s="73"/>
      <c r="E181" s="73"/>
      <c r="F181" s="115" t="s">
        <v>182</v>
      </c>
      <c r="G181" s="115" t="s">
        <v>198</v>
      </c>
      <c r="H181" s="26" t="s">
        <v>194</v>
      </c>
      <c r="I181" s="134"/>
      <c r="J181" s="134"/>
      <c r="K181" s="134"/>
      <c r="L181" s="134"/>
      <c r="M181" s="134"/>
      <c r="N181" s="74"/>
      <c r="O181" s="73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</row>
    <row r="182" spans="1:105" x14ac:dyDescent="0.25">
      <c r="A182" s="73"/>
      <c r="B182" s="73"/>
      <c r="C182" s="73"/>
      <c r="D182" s="73"/>
      <c r="E182" s="73"/>
      <c r="F182" s="115" t="s">
        <v>184</v>
      </c>
      <c r="G182" s="115" t="s">
        <v>198</v>
      </c>
      <c r="H182" s="26" t="s">
        <v>41</v>
      </c>
      <c r="I182" s="134"/>
      <c r="J182" s="134"/>
      <c r="K182" s="134"/>
      <c r="L182" s="134"/>
      <c r="M182" s="134"/>
      <c r="N182" s="74"/>
      <c r="O182" s="73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</row>
    <row r="183" spans="1:105" x14ac:dyDescent="0.25">
      <c r="A183" s="73"/>
      <c r="B183" s="73"/>
      <c r="C183" s="73"/>
      <c r="D183" s="73"/>
      <c r="E183" s="73"/>
      <c r="F183" s="115" t="s">
        <v>195</v>
      </c>
      <c r="G183" s="115" t="s">
        <v>198</v>
      </c>
      <c r="H183" s="26" t="s">
        <v>40</v>
      </c>
      <c r="I183" s="134"/>
      <c r="J183" s="134"/>
      <c r="K183" s="134"/>
      <c r="L183" s="134"/>
      <c r="M183" s="134"/>
      <c r="N183" s="74"/>
      <c r="O183" s="73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</row>
    <row r="184" spans="1:105" x14ac:dyDescent="0.25">
      <c r="A184" s="73"/>
      <c r="B184" s="73"/>
      <c r="C184" s="73"/>
      <c r="D184" s="73"/>
      <c r="E184" s="73"/>
      <c r="F184" s="117" t="s">
        <v>196</v>
      </c>
      <c r="G184" s="117" t="s">
        <v>198</v>
      </c>
      <c r="H184" s="27" t="s">
        <v>166</v>
      </c>
      <c r="I184" s="134"/>
      <c r="J184" s="134"/>
      <c r="K184" s="134"/>
      <c r="L184" s="134"/>
      <c r="M184" s="134"/>
      <c r="N184" s="74"/>
      <c r="O184" s="73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</row>
    <row r="185" spans="1:105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3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</row>
    <row r="186" spans="1:105" x14ac:dyDescent="0.25">
      <c r="A186" s="115"/>
      <c r="B186" s="73"/>
      <c r="C186" s="73"/>
      <c r="D186" s="73"/>
      <c r="E186" s="112" t="s">
        <v>691</v>
      </c>
      <c r="F186" s="73"/>
      <c r="G186" s="73"/>
      <c r="H186" s="74"/>
      <c r="I186" s="132" t="s">
        <v>314</v>
      </c>
      <c r="J186" s="132"/>
      <c r="K186" s="132"/>
      <c r="L186" s="132"/>
      <c r="M186" s="132"/>
      <c r="N186" s="132"/>
      <c r="O186" s="115" t="s">
        <v>358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</row>
    <row r="187" spans="1:105" x14ac:dyDescent="0.25">
      <c r="A187" s="73"/>
      <c r="B187" s="73"/>
      <c r="C187" s="73"/>
      <c r="D187" s="73"/>
      <c r="E187" s="73"/>
      <c r="F187" s="113" t="s">
        <v>197</v>
      </c>
      <c r="G187" s="113" t="s">
        <v>198</v>
      </c>
      <c r="H187" s="33" t="s">
        <v>194</v>
      </c>
      <c r="I187" s="134"/>
      <c r="J187" s="134"/>
      <c r="K187" s="134"/>
      <c r="L187" s="134"/>
      <c r="M187" s="134"/>
      <c r="N187" s="74"/>
      <c r="O187" s="73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</row>
    <row r="188" spans="1:105" x14ac:dyDescent="0.25">
      <c r="A188" s="73"/>
      <c r="B188" s="73"/>
      <c r="C188" s="73"/>
      <c r="D188" s="73"/>
      <c r="E188" s="73"/>
      <c r="F188" s="115" t="s">
        <v>199</v>
      </c>
      <c r="G188" s="115" t="s">
        <v>198</v>
      </c>
      <c r="H188" s="26" t="s">
        <v>193</v>
      </c>
      <c r="I188" s="134"/>
      <c r="J188" s="134"/>
      <c r="K188" s="134"/>
      <c r="L188" s="134"/>
      <c r="M188" s="134"/>
      <c r="N188" s="74"/>
      <c r="O188" s="73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</row>
    <row r="189" spans="1:105" x14ac:dyDescent="0.25">
      <c r="A189" s="73"/>
      <c r="B189" s="73"/>
      <c r="C189" s="73"/>
      <c r="D189" s="73"/>
      <c r="E189" s="73"/>
      <c r="F189" s="115" t="s">
        <v>50</v>
      </c>
      <c r="G189" s="115" t="s">
        <v>198</v>
      </c>
      <c r="H189" s="26" t="s">
        <v>194</v>
      </c>
      <c r="I189" s="134"/>
      <c r="J189" s="134"/>
      <c r="K189" s="134"/>
      <c r="L189" s="134"/>
      <c r="M189" s="134"/>
      <c r="N189" s="74"/>
      <c r="O189" s="73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</row>
    <row r="190" spans="1:105" x14ac:dyDescent="0.25">
      <c r="A190" s="73"/>
      <c r="B190" s="73"/>
      <c r="C190" s="73"/>
      <c r="D190" s="73"/>
      <c r="E190" s="73"/>
      <c r="F190" s="115" t="s">
        <v>200</v>
      </c>
      <c r="G190" s="115" t="s">
        <v>198</v>
      </c>
      <c r="H190" s="26" t="s">
        <v>194</v>
      </c>
      <c r="I190" s="134"/>
      <c r="J190" s="134"/>
      <c r="K190" s="134"/>
      <c r="L190" s="134"/>
      <c r="M190" s="134"/>
      <c r="N190" s="74"/>
      <c r="O190" s="73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</row>
    <row r="191" spans="1:105" x14ac:dyDescent="0.25">
      <c r="A191" s="73"/>
      <c r="B191" s="73"/>
      <c r="C191" s="73"/>
      <c r="D191" s="73"/>
      <c r="E191" s="73"/>
      <c r="F191" s="115" t="s">
        <v>201</v>
      </c>
      <c r="G191" s="115" t="s">
        <v>198</v>
      </c>
      <c r="H191" s="26" t="s">
        <v>194</v>
      </c>
      <c r="I191" s="134"/>
      <c r="J191" s="134"/>
      <c r="K191" s="134"/>
      <c r="L191" s="134"/>
      <c r="M191" s="134"/>
      <c r="N191" s="74"/>
      <c r="O191" s="73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</row>
    <row r="192" spans="1:105" x14ac:dyDescent="0.25">
      <c r="A192" s="73"/>
      <c r="B192" s="73"/>
      <c r="C192" s="73"/>
      <c r="D192" s="73"/>
      <c r="E192" s="73"/>
      <c r="F192" s="115" t="s">
        <v>202</v>
      </c>
      <c r="G192" s="115" t="s">
        <v>198</v>
      </c>
      <c r="H192" s="26" t="s">
        <v>194</v>
      </c>
      <c r="I192" s="134"/>
      <c r="J192" s="134"/>
      <c r="K192" s="134"/>
      <c r="L192" s="134"/>
      <c r="M192" s="134"/>
      <c r="N192" s="74"/>
      <c r="O192" s="73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</row>
    <row r="193" spans="1:105" x14ac:dyDescent="0.25">
      <c r="A193" s="73"/>
      <c r="B193" s="73"/>
      <c r="C193" s="73"/>
      <c r="D193" s="73"/>
      <c r="E193" s="73"/>
      <c r="F193" s="115" t="s">
        <v>203</v>
      </c>
      <c r="G193" s="115" t="s">
        <v>198</v>
      </c>
      <c r="H193" s="26" t="s">
        <v>193</v>
      </c>
      <c r="I193" s="134"/>
      <c r="J193" s="134"/>
      <c r="K193" s="134"/>
      <c r="L193" s="134"/>
      <c r="M193" s="134"/>
      <c r="N193" s="74"/>
      <c r="O193" s="73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</row>
    <row r="194" spans="1:105" x14ac:dyDescent="0.25">
      <c r="A194" s="73"/>
      <c r="B194" s="73"/>
      <c r="C194" s="73"/>
      <c r="D194" s="73"/>
      <c r="E194" s="73"/>
      <c r="F194" s="115" t="s">
        <v>204</v>
      </c>
      <c r="G194" s="115" t="s">
        <v>198</v>
      </c>
      <c r="H194" s="26" t="s">
        <v>194</v>
      </c>
      <c r="I194" s="134"/>
      <c r="J194" s="134"/>
      <c r="K194" s="134"/>
      <c r="L194" s="134"/>
      <c r="M194" s="134"/>
      <c r="N194" s="74"/>
      <c r="O194" s="73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</row>
    <row r="195" spans="1:105" x14ac:dyDescent="0.25">
      <c r="A195" s="73"/>
      <c r="B195" s="73"/>
      <c r="C195" s="73"/>
      <c r="D195" s="73"/>
      <c r="E195" s="73"/>
      <c r="F195" s="115" t="s">
        <v>205</v>
      </c>
      <c r="G195" s="115" t="s">
        <v>198</v>
      </c>
      <c r="H195" s="26" t="s">
        <v>194</v>
      </c>
      <c r="I195" s="134"/>
      <c r="J195" s="134"/>
      <c r="K195" s="134"/>
      <c r="L195" s="134"/>
      <c r="M195" s="134"/>
      <c r="N195" s="74"/>
      <c r="O195" s="73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</row>
    <row r="196" spans="1:105" x14ac:dyDescent="0.25">
      <c r="A196" s="73"/>
      <c r="B196" s="73"/>
      <c r="C196" s="73"/>
      <c r="D196" s="73"/>
      <c r="E196" s="73"/>
      <c r="F196" s="115" t="s">
        <v>206</v>
      </c>
      <c r="G196" s="115" t="s">
        <v>198</v>
      </c>
      <c r="H196" s="26" t="s">
        <v>194</v>
      </c>
      <c r="I196" s="134"/>
      <c r="J196" s="134"/>
      <c r="K196" s="134"/>
      <c r="L196" s="134"/>
      <c r="M196" s="134"/>
      <c r="N196" s="74"/>
      <c r="O196" s="73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</row>
    <row r="197" spans="1:105" x14ac:dyDescent="0.25">
      <c r="A197" s="73"/>
      <c r="B197" s="73"/>
      <c r="C197" s="73"/>
      <c r="D197" s="73"/>
      <c r="E197" s="73"/>
      <c r="F197" s="115" t="s">
        <v>207</v>
      </c>
      <c r="G197" s="115" t="s">
        <v>198</v>
      </c>
      <c r="H197" s="26" t="s">
        <v>194</v>
      </c>
      <c r="I197" s="134"/>
      <c r="J197" s="134"/>
      <c r="K197" s="134"/>
      <c r="L197" s="134"/>
      <c r="M197" s="134"/>
      <c r="N197" s="74"/>
      <c r="O197" s="73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</row>
    <row r="198" spans="1:105" x14ac:dyDescent="0.25">
      <c r="A198" s="73"/>
      <c r="B198" s="73"/>
      <c r="C198" s="73"/>
      <c r="D198" s="73"/>
      <c r="E198" s="73"/>
      <c r="F198" s="115" t="s">
        <v>208</v>
      </c>
      <c r="G198" s="115" t="s">
        <v>198</v>
      </c>
      <c r="H198" s="26" t="s">
        <v>194</v>
      </c>
      <c r="I198" s="134"/>
      <c r="J198" s="134"/>
      <c r="K198" s="134"/>
      <c r="L198" s="134"/>
      <c r="M198" s="134"/>
      <c r="N198" s="74"/>
      <c r="O198" s="73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</row>
    <row r="199" spans="1:105" x14ac:dyDescent="0.25">
      <c r="A199" s="73"/>
      <c r="B199" s="73"/>
      <c r="C199" s="73"/>
      <c r="D199" s="73"/>
      <c r="E199" s="73"/>
      <c r="F199" s="115" t="s">
        <v>209</v>
      </c>
      <c r="G199" s="115" t="s">
        <v>198</v>
      </c>
      <c r="H199" s="26" t="s">
        <v>194</v>
      </c>
      <c r="I199" s="134"/>
      <c r="J199" s="134"/>
      <c r="K199" s="134"/>
      <c r="L199" s="134"/>
      <c r="M199" s="134"/>
      <c r="N199" s="74"/>
      <c r="O199" s="73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</row>
    <row r="200" spans="1:105" x14ac:dyDescent="0.25">
      <c r="A200" s="73"/>
      <c r="B200" s="73"/>
      <c r="C200" s="73"/>
      <c r="D200" s="73"/>
      <c r="E200" s="73"/>
      <c r="F200" s="115" t="s">
        <v>368</v>
      </c>
      <c r="G200" s="115" t="s">
        <v>198</v>
      </c>
      <c r="H200" s="26" t="s">
        <v>40</v>
      </c>
      <c r="I200" s="134"/>
      <c r="J200" s="134"/>
      <c r="K200" s="134"/>
      <c r="L200" s="134"/>
      <c r="M200" s="134"/>
      <c r="N200" s="74"/>
      <c r="O200" s="73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</row>
    <row r="201" spans="1:105" x14ac:dyDescent="0.25">
      <c r="A201" s="73"/>
      <c r="B201" s="73"/>
      <c r="C201" s="73"/>
      <c r="D201" s="73"/>
      <c r="E201" s="73"/>
      <c r="F201" s="115" t="s">
        <v>369</v>
      </c>
      <c r="G201" s="115" t="s">
        <v>198</v>
      </c>
      <c r="H201" s="26" t="s">
        <v>40</v>
      </c>
      <c r="I201" s="134"/>
      <c r="J201" s="134"/>
      <c r="K201" s="134"/>
      <c r="L201" s="134"/>
      <c r="M201" s="134"/>
      <c r="N201" s="74"/>
      <c r="O201" s="73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</row>
    <row r="202" spans="1:105" x14ac:dyDescent="0.25">
      <c r="A202" s="73"/>
      <c r="B202" s="73"/>
      <c r="C202" s="73"/>
      <c r="D202" s="73"/>
      <c r="E202" s="73"/>
      <c r="F202" s="115" t="s">
        <v>370</v>
      </c>
      <c r="G202" s="115" t="s">
        <v>198</v>
      </c>
      <c r="H202" s="26" t="s">
        <v>40</v>
      </c>
      <c r="I202" s="134"/>
      <c r="J202" s="134"/>
      <c r="K202" s="134"/>
      <c r="L202" s="134"/>
      <c r="M202" s="134"/>
      <c r="N202" s="74"/>
      <c r="O202" s="73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</row>
    <row r="203" spans="1:105" x14ac:dyDescent="0.25">
      <c r="A203" s="73"/>
      <c r="B203" s="73"/>
      <c r="C203" s="73"/>
      <c r="D203" s="73"/>
      <c r="E203" s="73"/>
      <c r="F203" s="115" t="s">
        <v>371</v>
      </c>
      <c r="G203" s="115" t="s">
        <v>198</v>
      </c>
      <c r="H203" s="26" t="s">
        <v>40</v>
      </c>
      <c r="I203" s="134"/>
      <c r="J203" s="134"/>
      <c r="K203" s="134"/>
      <c r="L203" s="134"/>
      <c r="M203" s="134"/>
      <c r="N203" s="74"/>
      <c r="O203" s="73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</row>
    <row r="204" spans="1:105" x14ac:dyDescent="0.25">
      <c r="A204" s="73"/>
      <c r="B204" s="73"/>
      <c r="C204" s="73"/>
      <c r="D204" s="73"/>
      <c r="E204" s="73"/>
      <c r="F204" s="115" t="s">
        <v>64</v>
      </c>
      <c r="G204" s="115" t="s">
        <v>198</v>
      </c>
      <c r="H204" s="26" t="s">
        <v>40</v>
      </c>
      <c r="I204" s="134"/>
      <c r="J204" s="134"/>
      <c r="K204" s="134"/>
      <c r="L204" s="134"/>
      <c r="M204" s="134"/>
      <c r="N204" s="74"/>
      <c r="O204" s="73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</row>
    <row r="205" spans="1:105" x14ac:dyDescent="0.25">
      <c r="A205" s="73"/>
      <c r="B205" s="73"/>
      <c r="C205" s="73"/>
      <c r="D205" s="73"/>
      <c r="E205" s="73"/>
      <c r="F205" s="115" t="s">
        <v>65</v>
      </c>
      <c r="G205" s="115" t="s">
        <v>198</v>
      </c>
      <c r="H205" s="26" t="s">
        <v>40</v>
      </c>
      <c r="I205" s="134"/>
      <c r="J205" s="134"/>
      <c r="K205" s="134"/>
      <c r="L205" s="134"/>
      <c r="M205" s="134"/>
      <c r="N205" s="74"/>
      <c r="O205" s="73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</row>
    <row r="206" spans="1:105" x14ac:dyDescent="0.25">
      <c r="A206" s="73"/>
      <c r="B206" s="73"/>
      <c r="C206" s="73"/>
      <c r="D206" s="73"/>
      <c r="E206" s="73"/>
      <c r="F206" s="115" t="s">
        <v>210</v>
      </c>
      <c r="G206" s="115" t="s">
        <v>198</v>
      </c>
      <c r="H206" s="26" t="s">
        <v>40</v>
      </c>
      <c r="I206" s="134"/>
      <c r="J206" s="134"/>
      <c r="K206" s="134"/>
      <c r="L206" s="134"/>
      <c r="M206" s="134"/>
      <c r="N206" s="74"/>
      <c r="O206" s="73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</row>
    <row r="207" spans="1:105" x14ac:dyDescent="0.25">
      <c r="A207" s="73"/>
      <c r="B207" s="73"/>
      <c r="C207" s="73"/>
      <c r="D207" s="73"/>
      <c r="E207" s="73"/>
      <c r="F207" s="115" t="s">
        <v>211</v>
      </c>
      <c r="G207" s="115" t="s">
        <v>198</v>
      </c>
      <c r="H207" s="26" t="s">
        <v>40</v>
      </c>
      <c r="I207" s="134"/>
      <c r="J207" s="134"/>
      <c r="K207" s="134"/>
      <c r="L207" s="134"/>
      <c r="M207" s="134"/>
      <c r="N207" s="74"/>
      <c r="O207" s="73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</row>
    <row r="208" spans="1:105" x14ac:dyDescent="0.25">
      <c r="A208" s="73"/>
      <c r="B208" s="73"/>
      <c r="C208" s="73"/>
      <c r="D208" s="73"/>
      <c r="E208" s="73"/>
      <c r="F208" s="115" t="s">
        <v>212</v>
      </c>
      <c r="G208" s="115" t="s">
        <v>198</v>
      </c>
      <c r="H208" s="26" t="s">
        <v>40</v>
      </c>
      <c r="I208" s="134"/>
      <c r="J208" s="134"/>
      <c r="K208" s="134"/>
      <c r="L208" s="134"/>
      <c r="M208" s="134"/>
      <c r="N208" s="74"/>
      <c r="O208" s="73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</row>
    <row r="209" spans="1:105" x14ac:dyDescent="0.25">
      <c r="A209" s="73"/>
      <c r="B209" s="73"/>
      <c r="C209" s="73"/>
      <c r="D209" s="73"/>
      <c r="E209" s="73"/>
      <c r="F209" s="115" t="s">
        <v>372</v>
      </c>
      <c r="G209" s="115" t="s">
        <v>198</v>
      </c>
      <c r="H209" s="26" t="s">
        <v>40</v>
      </c>
      <c r="I209" s="134"/>
      <c r="J209" s="134"/>
      <c r="K209" s="134"/>
      <c r="L209" s="134"/>
      <c r="M209" s="134"/>
      <c r="N209" s="74"/>
      <c r="O209" s="73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</row>
    <row r="210" spans="1:105" x14ac:dyDescent="0.25">
      <c r="A210" s="73"/>
      <c r="B210" s="73"/>
      <c r="C210" s="73"/>
      <c r="D210" s="73"/>
      <c r="E210" s="73"/>
      <c r="F210" s="115" t="s">
        <v>373</v>
      </c>
      <c r="G210" s="115" t="s">
        <v>198</v>
      </c>
      <c r="H210" s="26" t="s">
        <v>40</v>
      </c>
      <c r="I210" s="134"/>
      <c r="J210" s="134"/>
      <c r="K210" s="134"/>
      <c r="L210" s="134"/>
      <c r="M210" s="134"/>
      <c r="N210" s="74"/>
      <c r="O210" s="73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</row>
    <row r="211" spans="1:105" x14ac:dyDescent="0.25">
      <c r="A211" s="73"/>
      <c r="B211" s="73"/>
      <c r="C211" s="73"/>
      <c r="D211" s="73"/>
      <c r="E211" s="73"/>
      <c r="F211" s="115" t="s">
        <v>71</v>
      </c>
      <c r="G211" s="115" t="s">
        <v>198</v>
      </c>
      <c r="H211" s="26" t="s">
        <v>40</v>
      </c>
      <c r="I211" s="134"/>
      <c r="J211" s="134"/>
      <c r="K211" s="134"/>
      <c r="L211" s="134"/>
      <c r="M211" s="134"/>
      <c r="N211" s="74"/>
      <c r="O211" s="73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</row>
    <row r="212" spans="1:105" x14ac:dyDescent="0.25">
      <c r="A212" s="73"/>
      <c r="B212" s="73"/>
      <c r="C212" s="73"/>
      <c r="D212" s="73"/>
      <c r="E212" s="73"/>
      <c r="F212" s="115" t="s">
        <v>72</v>
      </c>
      <c r="G212" s="115" t="s">
        <v>198</v>
      </c>
      <c r="H212" s="26" t="s">
        <v>41</v>
      </c>
      <c r="I212" s="134"/>
      <c r="J212" s="134"/>
      <c r="K212" s="134"/>
      <c r="L212" s="134"/>
      <c r="M212" s="134"/>
      <c r="N212" s="74"/>
      <c r="O212" s="73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</row>
    <row r="213" spans="1:105" x14ac:dyDescent="0.25">
      <c r="A213" s="73"/>
      <c r="B213" s="73"/>
      <c r="C213" s="73"/>
      <c r="D213" s="73"/>
      <c r="E213" s="73"/>
      <c r="F213" s="115" t="s">
        <v>73</v>
      </c>
      <c r="G213" s="115" t="s">
        <v>198</v>
      </c>
      <c r="H213" s="26" t="s">
        <v>41</v>
      </c>
      <c r="I213" s="134"/>
      <c r="J213" s="134"/>
      <c r="K213" s="134"/>
      <c r="L213" s="134"/>
      <c r="M213" s="134"/>
      <c r="N213" s="74"/>
      <c r="O213" s="73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</row>
    <row r="214" spans="1:105" x14ac:dyDescent="0.25">
      <c r="A214" s="73"/>
      <c r="B214" s="73"/>
      <c r="C214" s="73"/>
      <c r="D214" s="73"/>
      <c r="E214" s="73"/>
      <c r="F214" s="115" t="s">
        <v>374</v>
      </c>
      <c r="G214" s="115" t="s">
        <v>198</v>
      </c>
      <c r="H214" s="26" t="s">
        <v>40</v>
      </c>
      <c r="I214" s="134"/>
      <c r="J214" s="134"/>
      <c r="K214" s="134"/>
      <c r="L214" s="134"/>
      <c r="M214" s="134"/>
      <c r="N214" s="74"/>
      <c r="O214" s="73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</row>
    <row r="215" spans="1:105" x14ac:dyDescent="0.25">
      <c r="A215" s="73"/>
      <c r="B215" s="73"/>
      <c r="C215" s="73"/>
      <c r="D215" s="73"/>
      <c r="E215" s="73"/>
      <c r="F215" s="115" t="s">
        <v>375</v>
      </c>
      <c r="G215" s="115" t="s">
        <v>198</v>
      </c>
      <c r="H215" s="26" t="s">
        <v>40</v>
      </c>
      <c r="I215" s="134"/>
      <c r="J215" s="134"/>
      <c r="K215" s="134"/>
      <c r="L215" s="134"/>
      <c r="M215" s="134"/>
      <c r="N215" s="74"/>
      <c r="O215" s="73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</row>
    <row r="216" spans="1:105" x14ac:dyDescent="0.25">
      <c r="A216" s="73"/>
      <c r="B216" s="73"/>
      <c r="C216" s="73"/>
      <c r="D216" s="73"/>
      <c r="E216" s="73"/>
      <c r="F216" s="115" t="s">
        <v>376</v>
      </c>
      <c r="G216" s="115" t="s">
        <v>198</v>
      </c>
      <c r="H216" s="26" t="s">
        <v>40</v>
      </c>
      <c r="I216" s="134"/>
      <c r="J216" s="134"/>
      <c r="K216" s="134"/>
      <c r="L216" s="134"/>
      <c r="M216" s="134"/>
      <c r="N216" s="74"/>
      <c r="O216" s="73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</row>
    <row r="217" spans="1:105" x14ac:dyDescent="0.25">
      <c r="A217" s="73"/>
      <c r="B217" s="73"/>
      <c r="C217" s="73"/>
      <c r="D217" s="73"/>
      <c r="E217" s="73"/>
      <c r="F217" s="115" t="s">
        <v>377</v>
      </c>
      <c r="G217" s="115" t="s">
        <v>198</v>
      </c>
      <c r="H217" s="26" t="s">
        <v>40</v>
      </c>
      <c r="I217" s="134"/>
      <c r="J217" s="134"/>
      <c r="K217" s="134"/>
      <c r="L217" s="134"/>
      <c r="M217" s="134"/>
      <c r="N217" s="74"/>
      <c r="O217" s="73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</row>
    <row r="218" spans="1:105" x14ac:dyDescent="0.25">
      <c r="A218" s="73"/>
      <c r="B218" s="73"/>
      <c r="C218" s="73"/>
      <c r="D218" s="73"/>
      <c r="E218" s="73"/>
      <c r="F218" s="115" t="s">
        <v>378</v>
      </c>
      <c r="G218" s="115" t="s">
        <v>198</v>
      </c>
      <c r="H218" s="26" t="s">
        <v>40</v>
      </c>
      <c r="I218" s="134"/>
      <c r="J218" s="134"/>
      <c r="K218" s="134"/>
      <c r="L218" s="134"/>
      <c r="M218" s="134"/>
      <c r="N218" s="74"/>
      <c r="O218" s="73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</row>
    <row r="219" spans="1:105" x14ac:dyDescent="0.25">
      <c r="A219" s="73"/>
      <c r="B219" s="73"/>
      <c r="C219" s="73"/>
      <c r="D219" s="73"/>
      <c r="E219" s="73"/>
      <c r="F219" s="115" t="s">
        <v>379</v>
      </c>
      <c r="G219" s="115" t="s">
        <v>198</v>
      </c>
      <c r="H219" s="26" t="s">
        <v>41</v>
      </c>
      <c r="I219" s="134"/>
      <c r="J219" s="134"/>
      <c r="K219" s="134"/>
      <c r="L219" s="134"/>
      <c r="M219" s="134"/>
      <c r="N219" s="74"/>
      <c r="O219" s="73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</row>
    <row r="220" spans="1:105" x14ac:dyDescent="0.25">
      <c r="A220" s="73"/>
      <c r="B220" s="73"/>
      <c r="C220" s="73"/>
      <c r="D220" s="73"/>
      <c r="E220" s="73"/>
      <c r="F220" s="115" t="s">
        <v>80</v>
      </c>
      <c r="G220" s="115" t="s">
        <v>198</v>
      </c>
      <c r="H220" s="26" t="s">
        <v>41</v>
      </c>
      <c r="I220" s="134"/>
      <c r="J220" s="134"/>
      <c r="K220" s="134"/>
      <c r="L220" s="134"/>
      <c r="M220" s="134"/>
      <c r="N220" s="74"/>
      <c r="O220" s="73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</row>
    <row r="221" spans="1:105" x14ac:dyDescent="0.25">
      <c r="A221" s="73"/>
      <c r="B221" s="73"/>
      <c r="C221" s="73"/>
      <c r="D221" s="73"/>
      <c r="E221" s="73"/>
      <c r="F221" s="115" t="s">
        <v>380</v>
      </c>
      <c r="G221" s="115" t="s">
        <v>198</v>
      </c>
      <c r="H221" s="26" t="s">
        <v>40</v>
      </c>
      <c r="I221" s="134"/>
      <c r="J221" s="134"/>
      <c r="K221" s="134"/>
      <c r="L221" s="134"/>
      <c r="M221" s="134"/>
      <c r="N221" s="74"/>
      <c r="O221" s="73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</row>
    <row r="222" spans="1:105" x14ac:dyDescent="0.25">
      <c r="A222" s="73"/>
      <c r="B222" s="73"/>
      <c r="C222" s="73"/>
      <c r="D222" s="73"/>
      <c r="E222" s="73"/>
      <c r="F222" s="115" t="s">
        <v>381</v>
      </c>
      <c r="G222" s="115" t="s">
        <v>198</v>
      </c>
      <c r="H222" s="26" t="s">
        <v>40</v>
      </c>
      <c r="I222" s="134"/>
      <c r="J222" s="134"/>
      <c r="K222" s="134"/>
      <c r="L222" s="134"/>
      <c r="M222" s="134"/>
      <c r="N222" s="74"/>
      <c r="O222" s="73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</row>
    <row r="223" spans="1:105" x14ac:dyDescent="0.25">
      <c r="A223" s="73"/>
      <c r="B223" s="73"/>
      <c r="C223" s="73"/>
      <c r="D223" s="73"/>
      <c r="E223" s="73"/>
      <c r="F223" s="115" t="s">
        <v>382</v>
      </c>
      <c r="G223" s="115" t="s">
        <v>198</v>
      </c>
      <c r="H223" s="26" t="s">
        <v>41</v>
      </c>
      <c r="I223" s="134"/>
      <c r="J223" s="134"/>
      <c r="K223" s="134"/>
      <c r="L223" s="134"/>
      <c r="M223" s="134"/>
      <c r="N223" s="74"/>
      <c r="O223" s="73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</row>
    <row r="224" spans="1:105" x14ac:dyDescent="0.25">
      <c r="A224" s="73"/>
      <c r="B224" s="73"/>
      <c r="C224" s="73"/>
      <c r="D224" s="73"/>
      <c r="E224" s="73"/>
      <c r="F224" s="115" t="s">
        <v>383</v>
      </c>
      <c r="G224" s="115" t="s">
        <v>198</v>
      </c>
      <c r="H224" s="26" t="s">
        <v>41</v>
      </c>
      <c r="I224" s="134"/>
      <c r="J224" s="134"/>
      <c r="K224" s="134"/>
      <c r="L224" s="134"/>
      <c r="M224" s="134"/>
      <c r="N224" s="74"/>
      <c r="O224" s="73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</row>
    <row r="225" spans="1:105" x14ac:dyDescent="0.25">
      <c r="A225" s="73"/>
      <c r="B225" s="73"/>
      <c r="C225" s="73"/>
      <c r="D225" s="73"/>
      <c r="E225" s="73"/>
      <c r="F225" s="115" t="s">
        <v>384</v>
      </c>
      <c r="G225" s="115" t="s">
        <v>198</v>
      </c>
      <c r="H225" s="26" t="s">
        <v>41</v>
      </c>
      <c r="I225" s="134"/>
      <c r="J225" s="134"/>
      <c r="K225" s="134"/>
      <c r="L225" s="134"/>
      <c r="M225" s="134"/>
      <c r="N225" s="74"/>
      <c r="O225" s="73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</row>
    <row r="226" spans="1:105" x14ac:dyDescent="0.25">
      <c r="A226" s="73"/>
      <c r="B226" s="73"/>
      <c r="C226" s="73"/>
      <c r="D226" s="73"/>
      <c r="E226" s="73"/>
      <c r="F226" s="115" t="s">
        <v>385</v>
      </c>
      <c r="G226" s="115" t="s">
        <v>198</v>
      </c>
      <c r="H226" s="26" t="s">
        <v>41</v>
      </c>
      <c r="I226" s="134"/>
      <c r="J226" s="134"/>
      <c r="K226" s="134"/>
      <c r="L226" s="134"/>
      <c r="M226" s="134"/>
      <c r="N226" s="74"/>
      <c r="O226" s="73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</row>
    <row r="227" spans="1:105" x14ac:dyDescent="0.25">
      <c r="A227" s="73"/>
      <c r="B227" s="73"/>
      <c r="C227" s="73"/>
      <c r="D227" s="73"/>
      <c r="E227" s="73"/>
      <c r="F227" s="115" t="s">
        <v>213</v>
      </c>
      <c r="G227" s="115" t="s">
        <v>198</v>
      </c>
      <c r="H227" s="26" t="s">
        <v>166</v>
      </c>
      <c r="I227" s="134"/>
      <c r="J227" s="134"/>
      <c r="K227" s="134"/>
      <c r="L227" s="134"/>
      <c r="M227" s="134"/>
      <c r="N227" s="74"/>
      <c r="O227" s="73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</row>
    <row r="228" spans="1:105" x14ac:dyDescent="0.25">
      <c r="A228" s="73"/>
      <c r="B228" s="73"/>
      <c r="C228" s="73"/>
      <c r="D228" s="73"/>
      <c r="E228" s="73"/>
      <c r="F228" s="115" t="s">
        <v>214</v>
      </c>
      <c r="G228" s="115" t="s">
        <v>198</v>
      </c>
      <c r="H228" s="26" t="s">
        <v>166</v>
      </c>
      <c r="I228" s="134"/>
      <c r="J228" s="134"/>
      <c r="K228" s="134"/>
      <c r="L228" s="134"/>
      <c r="M228" s="134"/>
      <c r="N228" s="74"/>
      <c r="O228" s="73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</row>
    <row r="229" spans="1:105" x14ac:dyDescent="0.25">
      <c r="A229" s="73"/>
      <c r="B229" s="73"/>
      <c r="C229" s="73"/>
      <c r="D229" s="73"/>
      <c r="E229" s="73"/>
      <c r="F229" s="115" t="s">
        <v>215</v>
      </c>
      <c r="G229" s="115" t="s">
        <v>198</v>
      </c>
      <c r="H229" s="26" t="s">
        <v>166</v>
      </c>
      <c r="I229" s="134"/>
      <c r="J229" s="134"/>
      <c r="K229" s="134"/>
      <c r="L229" s="134"/>
      <c r="M229" s="134"/>
      <c r="N229" s="74"/>
      <c r="O229" s="73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</row>
    <row r="230" spans="1:105" x14ac:dyDescent="0.25">
      <c r="A230" s="73"/>
      <c r="B230" s="73"/>
      <c r="C230" s="73"/>
      <c r="D230" s="73"/>
      <c r="E230" s="73"/>
      <c r="F230" s="115" t="s">
        <v>216</v>
      </c>
      <c r="G230" s="115" t="s">
        <v>198</v>
      </c>
      <c r="H230" s="26" t="s">
        <v>166</v>
      </c>
      <c r="I230" s="134"/>
      <c r="J230" s="134"/>
      <c r="K230" s="134"/>
      <c r="L230" s="134"/>
      <c r="M230" s="134"/>
      <c r="N230" s="74"/>
      <c r="O230" s="73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</row>
    <row r="231" spans="1:105" x14ac:dyDescent="0.25">
      <c r="A231" s="73"/>
      <c r="B231" s="73"/>
      <c r="C231" s="73"/>
      <c r="D231" s="73"/>
      <c r="E231" s="73"/>
      <c r="F231" s="115" t="s">
        <v>91</v>
      </c>
      <c r="G231" s="115" t="s">
        <v>198</v>
      </c>
      <c r="H231" s="26" t="s">
        <v>166</v>
      </c>
      <c r="I231" s="134"/>
      <c r="J231" s="134"/>
      <c r="K231" s="134"/>
      <c r="L231" s="134"/>
      <c r="M231" s="134"/>
      <c r="N231" s="74"/>
      <c r="O231" s="73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</row>
    <row r="232" spans="1:105" x14ac:dyDescent="0.25">
      <c r="A232" s="73"/>
      <c r="B232" s="73"/>
      <c r="C232" s="73"/>
      <c r="D232" s="73"/>
      <c r="E232" s="73"/>
      <c r="F232" s="115" t="s">
        <v>92</v>
      </c>
      <c r="G232" s="115" t="s">
        <v>198</v>
      </c>
      <c r="H232" s="26" t="s">
        <v>166</v>
      </c>
      <c r="I232" s="134"/>
      <c r="J232" s="134"/>
      <c r="K232" s="134"/>
      <c r="L232" s="134"/>
      <c r="M232" s="134"/>
      <c r="N232" s="74"/>
      <c r="O232" s="73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</row>
    <row r="233" spans="1:105" x14ac:dyDescent="0.25">
      <c r="A233" s="73"/>
      <c r="B233" s="73"/>
      <c r="C233" s="73"/>
      <c r="D233" s="73"/>
      <c r="E233" s="73"/>
      <c r="F233" s="115" t="s">
        <v>93</v>
      </c>
      <c r="G233" s="115" t="s">
        <v>198</v>
      </c>
      <c r="H233" s="26" t="s">
        <v>166</v>
      </c>
      <c r="I233" s="134"/>
      <c r="J233" s="134"/>
      <c r="K233" s="134"/>
      <c r="L233" s="134"/>
      <c r="M233" s="134"/>
      <c r="N233" s="74"/>
      <c r="O233" s="73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</row>
    <row r="234" spans="1:105" x14ac:dyDescent="0.25">
      <c r="A234" s="73"/>
      <c r="B234" s="73"/>
      <c r="C234" s="73"/>
      <c r="D234" s="73"/>
      <c r="E234" s="73"/>
      <c r="F234" s="115" t="s">
        <v>94</v>
      </c>
      <c r="G234" s="115" t="s">
        <v>198</v>
      </c>
      <c r="H234" s="26" t="s">
        <v>166</v>
      </c>
      <c r="I234" s="134"/>
      <c r="J234" s="134"/>
      <c r="K234" s="134"/>
      <c r="L234" s="134"/>
      <c r="M234" s="134"/>
      <c r="N234" s="74"/>
      <c r="O234" s="73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</row>
    <row r="235" spans="1:105" x14ac:dyDescent="0.25">
      <c r="A235" s="73"/>
      <c r="B235" s="73"/>
      <c r="C235" s="73"/>
      <c r="D235" s="73"/>
      <c r="E235" s="73"/>
      <c r="F235" s="115" t="s">
        <v>217</v>
      </c>
      <c r="G235" s="115" t="s">
        <v>198</v>
      </c>
      <c r="H235" s="26" t="s">
        <v>166</v>
      </c>
      <c r="I235" s="134"/>
      <c r="J235" s="134"/>
      <c r="K235" s="134"/>
      <c r="L235" s="134"/>
      <c r="M235" s="134"/>
      <c r="N235" s="74"/>
      <c r="O235" s="73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</row>
    <row r="236" spans="1:105" x14ac:dyDescent="0.25">
      <c r="A236" s="73"/>
      <c r="B236" s="73"/>
      <c r="C236" s="73"/>
      <c r="D236" s="73"/>
      <c r="E236" s="73"/>
      <c r="F236" s="115" t="s">
        <v>218</v>
      </c>
      <c r="G236" s="115" t="s">
        <v>198</v>
      </c>
      <c r="H236" s="26" t="s">
        <v>166</v>
      </c>
      <c r="I236" s="134"/>
      <c r="J236" s="134"/>
      <c r="K236" s="134"/>
      <c r="L236" s="134"/>
      <c r="M236" s="134"/>
      <c r="N236" s="74"/>
      <c r="O236" s="73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</row>
    <row r="237" spans="1:105" x14ac:dyDescent="0.25">
      <c r="A237" s="73"/>
      <c r="B237" s="73"/>
      <c r="C237" s="73"/>
      <c r="D237" s="73"/>
      <c r="E237" s="73"/>
      <c r="F237" s="115" t="s">
        <v>219</v>
      </c>
      <c r="G237" s="115" t="s">
        <v>198</v>
      </c>
      <c r="H237" s="26" t="s">
        <v>166</v>
      </c>
      <c r="I237" s="134"/>
      <c r="J237" s="134"/>
      <c r="K237" s="134"/>
      <c r="L237" s="134"/>
      <c r="M237" s="134"/>
      <c r="N237" s="74"/>
      <c r="O237" s="73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</row>
    <row r="238" spans="1:105" x14ac:dyDescent="0.25">
      <c r="A238" s="73"/>
      <c r="B238" s="73"/>
      <c r="C238" s="73"/>
      <c r="D238" s="73"/>
      <c r="E238" s="73"/>
      <c r="F238" s="115" t="s">
        <v>220</v>
      </c>
      <c r="G238" s="115" t="s">
        <v>198</v>
      </c>
      <c r="H238" s="26" t="s">
        <v>166</v>
      </c>
      <c r="I238" s="134"/>
      <c r="J238" s="134"/>
      <c r="K238" s="134"/>
      <c r="L238" s="134"/>
      <c r="M238" s="134"/>
      <c r="N238" s="74"/>
      <c r="O238" s="73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</row>
    <row r="239" spans="1:105" x14ac:dyDescent="0.25">
      <c r="A239" s="73"/>
      <c r="B239" s="73"/>
      <c r="C239" s="73"/>
      <c r="D239" s="73"/>
      <c r="E239" s="73"/>
      <c r="F239" s="115" t="s">
        <v>221</v>
      </c>
      <c r="G239" s="115" t="s">
        <v>198</v>
      </c>
      <c r="H239" s="26" t="s">
        <v>166</v>
      </c>
      <c r="I239" s="134"/>
      <c r="J239" s="134"/>
      <c r="K239" s="134"/>
      <c r="L239" s="134"/>
      <c r="M239" s="134"/>
      <c r="N239" s="74"/>
      <c r="O239" s="73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</row>
    <row r="240" spans="1:105" x14ac:dyDescent="0.25">
      <c r="A240" s="73"/>
      <c r="B240" s="73"/>
      <c r="C240" s="73"/>
      <c r="D240" s="73"/>
      <c r="E240" s="73"/>
      <c r="F240" s="115" t="s">
        <v>222</v>
      </c>
      <c r="G240" s="115" t="s">
        <v>198</v>
      </c>
      <c r="H240" s="26" t="s">
        <v>166</v>
      </c>
      <c r="I240" s="134"/>
      <c r="J240" s="134"/>
      <c r="K240" s="134"/>
      <c r="L240" s="134"/>
      <c r="M240" s="134"/>
      <c r="N240" s="74"/>
      <c r="O240" s="73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</row>
    <row r="241" spans="1:105" x14ac:dyDescent="0.25">
      <c r="A241" s="73"/>
      <c r="B241" s="73"/>
      <c r="C241" s="73"/>
      <c r="D241" s="73"/>
      <c r="E241" s="73"/>
      <c r="F241" s="115" t="s">
        <v>223</v>
      </c>
      <c r="G241" s="115" t="s">
        <v>198</v>
      </c>
      <c r="H241" s="26" t="s">
        <v>166</v>
      </c>
      <c r="I241" s="134"/>
      <c r="J241" s="134"/>
      <c r="K241" s="134"/>
      <c r="L241" s="134"/>
      <c r="M241" s="134"/>
      <c r="N241" s="74"/>
      <c r="O241" s="73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</row>
    <row r="242" spans="1:105" x14ac:dyDescent="0.25">
      <c r="A242" s="73"/>
      <c r="B242" s="73"/>
      <c r="C242" s="73"/>
      <c r="D242" s="73"/>
      <c r="E242" s="73"/>
      <c r="F242" s="115" t="s">
        <v>386</v>
      </c>
      <c r="G242" s="115" t="s">
        <v>198</v>
      </c>
      <c r="H242" s="26" t="s">
        <v>166</v>
      </c>
      <c r="I242" s="134"/>
      <c r="J242" s="134"/>
      <c r="K242" s="134"/>
      <c r="L242" s="134"/>
      <c r="M242" s="134"/>
      <c r="N242" s="74"/>
      <c r="O242" s="73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</row>
    <row r="243" spans="1:105" x14ac:dyDescent="0.25">
      <c r="A243" s="73"/>
      <c r="B243" s="73"/>
      <c r="C243" s="73"/>
      <c r="D243" s="73"/>
      <c r="E243" s="73"/>
      <c r="F243" s="115" t="s">
        <v>387</v>
      </c>
      <c r="G243" s="115" t="s">
        <v>198</v>
      </c>
      <c r="H243" s="26" t="s">
        <v>166</v>
      </c>
      <c r="I243" s="134"/>
      <c r="J243" s="134"/>
      <c r="K243" s="134"/>
      <c r="L243" s="134"/>
      <c r="M243" s="134"/>
      <c r="N243" s="74"/>
      <c r="O243" s="73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</row>
    <row r="244" spans="1:105" x14ac:dyDescent="0.25">
      <c r="A244" s="73"/>
      <c r="B244" s="73"/>
      <c r="C244" s="73"/>
      <c r="D244" s="73"/>
      <c r="E244" s="73"/>
      <c r="F244" s="115" t="s">
        <v>388</v>
      </c>
      <c r="G244" s="115" t="s">
        <v>198</v>
      </c>
      <c r="H244" s="26" t="s">
        <v>166</v>
      </c>
      <c r="I244" s="134"/>
      <c r="J244" s="134"/>
      <c r="K244" s="134"/>
      <c r="L244" s="134"/>
      <c r="M244" s="134"/>
      <c r="N244" s="74"/>
      <c r="O244" s="73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</row>
    <row r="245" spans="1:105" x14ac:dyDescent="0.25">
      <c r="A245" s="73"/>
      <c r="B245" s="73"/>
      <c r="C245" s="73"/>
      <c r="D245" s="73"/>
      <c r="E245" s="73"/>
      <c r="F245" s="115" t="s">
        <v>389</v>
      </c>
      <c r="G245" s="115" t="s">
        <v>198</v>
      </c>
      <c r="H245" s="26" t="s">
        <v>166</v>
      </c>
      <c r="I245" s="134"/>
      <c r="J245" s="134"/>
      <c r="K245" s="134"/>
      <c r="L245" s="134"/>
      <c r="M245" s="134"/>
      <c r="N245" s="74"/>
      <c r="O245" s="73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</row>
    <row r="246" spans="1:105" x14ac:dyDescent="0.25">
      <c r="A246" s="73"/>
      <c r="B246" s="73"/>
      <c r="C246" s="73"/>
      <c r="D246" s="73"/>
      <c r="E246" s="73"/>
      <c r="F246" s="115" t="s">
        <v>106</v>
      </c>
      <c r="G246" s="115" t="s">
        <v>198</v>
      </c>
      <c r="H246" s="26" t="s">
        <v>166</v>
      </c>
      <c r="I246" s="134"/>
      <c r="J246" s="134"/>
      <c r="K246" s="134"/>
      <c r="L246" s="134"/>
      <c r="M246" s="134"/>
      <c r="N246" s="74"/>
      <c r="O246" s="73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</row>
    <row r="247" spans="1:105" x14ac:dyDescent="0.25">
      <c r="A247" s="73"/>
      <c r="B247" s="73"/>
      <c r="C247" s="73"/>
      <c r="D247" s="73"/>
      <c r="E247" s="73"/>
      <c r="F247" s="115" t="s">
        <v>107</v>
      </c>
      <c r="G247" s="115" t="s">
        <v>198</v>
      </c>
      <c r="H247" s="26" t="s">
        <v>166</v>
      </c>
      <c r="I247" s="134"/>
      <c r="J247" s="134"/>
      <c r="K247" s="134"/>
      <c r="L247" s="134"/>
      <c r="M247" s="134"/>
      <c r="N247" s="74"/>
      <c r="O247" s="73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</row>
    <row r="248" spans="1:105" x14ac:dyDescent="0.25">
      <c r="A248" s="73"/>
      <c r="B248" s="73"/>
      <c r="C248" s="73"/>
      <c r="D248" s="73"/>
      <c r="E248" s="73"/>
      <c r="F248" s="115" t="s">
        <v>390</v>
      </c>
      <c r="G248" s="115" t="s">
        <v>198</v>
      </c>
      <c r="H248" s="26" t="s">
        <v>166</v>
      </c>
      <c r="I248" s="134"/>
      <c r="J248" s="134"/>
      <c r="K248" s="134"/>
      <c r="L248" s="134"/>
      <c r="M248" s="134"/>
      <c r="N248" s="74"/>
      <c r="O248" s="73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</row>
    <row r="249" spans="1:105" x14ac:dyDescent="0.25">
      <c r="A249" s="73"/>
      <c r="B249" s="73"/>
      <c r="C249" s="73"/>
      <c r="D249" s="73"/>
      <c r="E249" s="73"/>
      <c r="F249" s="115" t="s">
        <v>109</v>
      </c>
      <c r="G249" s="115" t="s">
        <v>198</v>
      </c>
      <c r="H249" s="26" t="s">
        <v>166</v>
      </c>
      <c r="I249" s="134"/>
      <c r="J249" s="134"/>
      <c r="K249" s="134"/>
      <c r="L249" s="134"/>
      <c r="M249" s="134"/>
      <c r="N249" s="74"/>
      <c r="O249" s="73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</row>
    <row r="250" spans="1:105" x14ac:dyDescent="0.25">
      <c r="A250" s="73"/>
      <c r="B250" s="73"/>
      <c r="C250" s="73"/>
      <c r="D250" s="73"/>
      <c r="E250" s="73"/>
      <c r="F250" s="115" t="s">
        <v>391</v>
      </c>
      <c r="G250" s="115" t="s">
        <v>198</v>
      </c>
      <c r="H250" s="26" t="s">
        <v>166</v>
      </c>
      <c r="I250" s="134"/>
      <c r="J250" s="134"/>
      <c r="K250" s="134"/>
      <c r="L250" s="134"/>
      <c r="M250" s="134"/>
      <c r="N250" s="74"/>
      <c r="O250" s="73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</row>
    <row r="251" spans="1:105" x14ac:dyDescent="0.25">
      <c r="A251" s="73"/>
      <c r="B251" s="73"/>
      <c r="C251" s="73"/>
      <c r="D251" s="73"/>
      <c r="E251" s="73"/>
      <c r="F251" s="115" t="s">
        <v>392</v>
      </c>
      <c r="G251" s="115" t="s">
        <v>198</v>
      </c>
      <c r="H251" s="26" t="s">
        <v>166</v>
      </c>
      <c r="I251" s="134"/>
      <c r="J251" s="134"/>
      <c r="K251" s="134"/>
      <c r="L251" s="134"/>
      <c r="M251" s="134"/>
      <c r="N251" s="74"/>
      <c r="O251" s="73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</row>
    <row r="252" spans="1:105" x14ac:dyDescent="0.25">
      <c r="A252" s="73"/>
      <c r="B252" s="73"/>
      <c r="C252" s="73"/>
      <c r="D252" s="73"/>
      <c r="E252" s="73"/>
      <c r="F252" s="115" t="s">
        <v>112</v>
      </c>
      <c r="G252" s="115" t="s">
        <v>198</v>
      </c>
      <c r="H252" s="26" t="s">
        <v>166</v>
      </c>
      <c r="I252" s="134"/>
      <c r="J252" s="134"/>
      <c r="K252" s="134"/>
      <c r="L252" s="134"/>
      <c r="M252" s="134"/>
      <c r="N252" s="74"/>
      <c r="O252" s="73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</row>
    <row r="253" spans="1:105" x14ac:dyDescent="0.25">
      <c r="A253" s="73"/>
      <c r="B253" s="73"/>
      <c r="C253" s="73"/>
      <c r="D253" s="73"/>
      <c r="E253" s="73"/>
      <c r="F253" s="115" t="s">
        <v>113</v>
      </c>
      <c r="G253" s="115" t="s">
        <v>198</v>
      </c>
      <c r="H253" s="26" t="s">
        <v>166</v>
      </c>
      <c r="I253" s="134"/>
      <c r="J253" s="134"/>
      <c r="K253" s="134"/>
      <c r="L253" s="134"/>
      <c r="M253" s="134"/>
      <c r="N253" s="74"/>
      <c r="O253" s="73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</row>
    <row r="254" spans="1:105" x14ac:dyDescent="0.25">
      <c r="A254" s="73"/>
      <c r="B254" s="73"/>
      <c r="C254" s="73"/>
      <c r="D254" s="73"/>
      <c r="E254" s="73"/>
      <c r="F254" s="115" t="s">
        <v>114</v>
      </c>
      <c r="G254" s="115" t="s">
        <v>198</v>
      </c>
      <c r="H254" s="26" t="s">
        <v>166</v>
      </c>
      <c r="I254" s="134"/>
      <c r="J254" s="134"/>
      <c r="K254" s="134"/>
      <c r="L254" s="134"/>
      <c r="M254" s="134"/>
      <c r="N254" s="74"/>
      <c r="O254" s="73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</row>
    <row r="255" spans="1:105" x14ac:dyDescent="0.25">
      <c r="A255" s="73"/>
      <c r="B255" s="73"/>
      <c r="C255" s="73"/>
      <c r="D255" s="73"/>
      <c r="E255" s="73"/>
      <c r="F255" s="115" t="s">
        <v>224</v>
      </c>
      <c r="G255" s="115" t="s">
        <v>198</v>
      </c>
      <c r="H255" s="26" t="s">
        <v>166</v>
      </c>
      <c r="I255" s="134"/>
      <c r="J255" s="134"/>
      <c r="K255" s="134"/>
      <c r="L255" s="134"/>
      <c r="M255" s="134"/>
      <c r="N255" s="74"/>
      <c r="O255" s="73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</row>
    <row r="256" spans="1:105" x14ac:dyDescent="0.25">
      <c r="A256" s="73"/>
      <c r="B256" s="73"/>
      <c r="C256" s="73"/>
      <c r="D256" s="73"/>
      <c r="E256" s="73"/>
      <c r="F256" s="115" t="s">
        <v>225</v>
      </c>
      <c r="G256" s="115" t="s">
        <v>198</v>
      </c>
      <c r="H256" s="26" t="s">
        <v>166</v>
      </c>
      <c r="I256" s="134"/>
      <c r="J256" s="134"/>
      <c r="K256" s="134"/>
      <c r="L256" s="134"/>
      <c r="M256" s="134"/>
      <c r="N256" s="74"/>
      <c r="O256" s="73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</row>
    <row r="257" spans="1:105" x14ac:dyDescent="0.25">
      <c r="A257" s="73"/>
      <c r="B257" s="73"/>
      <c r="C257" s="73"/>
      <c r="D257" s="73"/>
      <c r="E257" s="73"/>
      <c r="F257" s="115" t="s">
        <v>117</v>
      </c>
      <c r="G257" s="115" t="s">
        <v>198</v>
      </c>
      <c r="H257" s="26" t="s">
        <v>166</v>
      </c>
      <c r="I257" s="134"/>
      <c r="J257" s="134"/>
      <c r="K257" s="134"/>
      <c r="L257" s="134"/>
      <c r="M257" s="134"/>
      <c r="N257" s="74"/>
      <c r="O257" s="73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</row>
    <row r="258" spans="1:105" x14ac:dyDescent="0.25">
      <c r="A258" s="73"/>
      <c r="B258" s="73"/>
      <c r="C258" s="73"/>
      <c r="D258" s="73"/>
      <c r="E258" s="73"/>
      <c r="F258" s="115" t="s">
        <v>118</v>
      </c>
      <c r="G258" s="115" t="s">
        <v>198</v>
      </c>
      <c r="H258" s="26" t="s">
        <v>166</v>
      </c>
      <c r="I258" s="134"/>
      <c r="J258" s="134"/>
      <c r="K258" s="134"/>
      <c r="L258" s="134"/>
      <c r="M258" s="134"/>
      <c r="N258" s="74"/>
      <c r="O258" s="73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</row>
    <row r="259" spans="1:105" x14ac:dyDescent="0.25">
      <c r="A259" s="73"/>
      <c r="B259" s="73"/>
      <c r="C259" s="73"/>
      <c r="D259" s="73"/>
      <c r="E259" s="73"/>
      <c r="F259" s="115" t="s">
        <v>119</v>
      </c>
      <c r="G259" s="115" t="s">
        <v>198</v>
      </c>
      <c r="H259" s="26" t="s">
        <v>166</v>
      </c>
      <c r="I259" s="134"/>
      <c r="J259" s="134"/>
      <c r="K259" s="134"/>
      <c r="L259" s="134"/>
      <c r="M259" s="134"/>
      <c r="N259" s="74"/>
      <c r="O259" s="73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</row>
    <row r="260" spans="1:105" x14ac:dyDescent="0.25">
      <c r="A260" s="73"/>
      <c r="B260" s="73"/>
      <c r="C260" s="73"/>
      <c r="D260" s="73"/>
      <c r="E260" s="73"/>
      <c r="F260" s="115" t="s">
        <v>226</v>
      </c>
      <c r="G260" s="115" t="s">
        <v>198</v>
      </c>
      <c r="H260" s="26" t="s">
        <v>166</v>
      </c>
      <c r="I260" s="134"/>
      <c r="J260" s="134"/>
      <c r="K260" s="134"/>
      <c r="L260" s="134"/>
      <c r="M260" s="134"/>
      <c r="N260" s="74"/>
      <c r="O260" s="73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</row>
    <row r="261" spans="1:105" x14ac:dyDescent="0.25">
      <c r="A261" s="73"/>
      <c r="B261" s="73"/>
      <c r="C261" s="73"/>
      <c r="D261" s="73"/>
      <c r="E261" s="73"/>
      <c r="F261" s="115" t="s">
        <v>227</v>
      </c>
      <c r="G261" s="115" t="s">
        <v>198</v>
      </c>
      <c r="H261" s="26" t="s">
        <v>166</v>
      </c>
      <c r="I261" s="134"/>
      <c r="J261" s="134"/>
      <c r="K261" s="134"/>
      <c r="L261" s="134"/>
      <c r="M261" s="134"/>
      <c r="N261" s="74"/>
      <c r="O261" s="73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</row>
    <row r="262" spans="1:105" x14ac:dyDescent="0.25">
      <c r="A262" s="73"/>
      <c r="B262" s="73"/>
      <c r="C262" s="73"/>
      <c r="D262" s="73"/>
      <c r="E262" s="73"/>
      <c r="F262" s="115" t="s">
        <v>228</v>
      </c>
      <c r="G262" s="115" t="s">
        <v>198</v>
      </c>
      <c r="H262" s="26" t="s">
        <v>166</v>
      </c>
      <c r="I262" s="134"/>
      <c r="J262" s="134"/>
      <c r="K262" s="134"/>
      <c r="L262" s="134"/>
      <c r="M262" s="134"/>
      <c r="N262" s="74"/>
      <c r="O262" s="73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</row>
    <row r="263" spans="1:105" x14ac:dyDescent="0.25">
      <c r="A263" s="73"/>
      <c r="B263" s="73"/>
      <c r="C263" s="73"/>
      <c r="D263" s="73"/>
      <c r="E263" s="73"/>
      <c r="F263" s="115" t="s">
        <v>367</v>
      </c>
      <c r="G263" s="115" t="s">
        <v>198</v>
      </c>
      <c r="H263" s="26" t="s">
        <v>166</v>
      </c>
      <c r="I263" s="134"/>
      <c r="J263" s="134"/>
      <c r="K263" s="134"/>
      <c r="L263" s="134"/>
      <c r="M263" s="134"/>
      <c r="N263" s="74"/>
      <c r="O263" s="73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</row>
    <row r="264" spans="1:105" x14ac:dyDescent="0.25">
      <c r="A264" s="73"/>
      <c r="B264" s="73"/>
      <c r="C264" s="73"/>
      <c r="D264" s="73"/>
      <c r="E264" s="73"/>
      <c r="F264" s="115" t="s">
        <v>393</v>
      </c>
      <c r="G264" s="115" t="s">
        <v>198</v>
      </c>
      <c r="H264" s="26" t="s">
        <v>166</v>
      </c>
      <c r="I264" s="134"/>
      <c r="J264" s="134"/>
      <c r="K264" s="134"/>
      <c r="L264" s="134"/>
      <c r="M264" s="134"/>
      <c r="N264" s="74"/>
      <c r="O264" s="73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</row>
    <row r="265" spans="1:105" x14ac:dyDescent="0.25">
      <c r="A265" s="73"/>
      <c r="B265" s="73"/>
      <c r="C265" s="73"/>
      <c r="D265" s="73"/>
      <c r="E265" s="73"/>
      <c r="F265" s="115" t="s">
        <v>125</v>
      </c>
      <c r="G265" s="115" t="s">
        <v>198</v>
      </c>
      <c r="H265" s="26" t="s">
        <v>166</v>
      </c>
      <c r="I265" s="134"/>
      <c r="J265" s="134"/>
      <c r="K265" s="134"/>
      <c r="L265" s="134"/>
      <c r="M265" s="134"/>
      <c r="N265" s="74"/>
      <c r="O265" s="73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</row>
    <row r="266" spans="1:105" x14ac:dyDescent="0.25">
      <c r="A266" s="73"/>
      <c r="B266" s="73"/>
      <c r="C266" s="73"/>
      <c r="D266" s="73"/>
      <c r="E266" s="73"/>
      <c r="F266" s="115" t="s">
        <v>126</v>
      </c>
      <c r="G266" s="115" t="s">
        <v>198</v>
      </c>
      <c r="H266" s="26" t="s">
        <v>166</v>
      </c>
      <c r="I266" s="134"/>
      <c r="J266" s="134"/>
      <c r="K266" s="134"/>
      <c r="L266" s="134"/>
      <c r="M266" s="134"/>
      <c r="N266" s="74"/>
      <c r="O266" s="73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</row>
    <row r="267" spans="1:105" x14ac:dyDescent="0.25">
      <c r="A267" s="73"/>
      <c r="B267" s="73"/>
      <c r="C267" s="73"/>
      <c r="D267" s="73"/>
      <c r="E267" s="73"/>
      <c r="F267" s="115" t="s">
        <v>127</v>
      </c>
      <c r="G267" s="115" t="s">
        <v>198</v>
      </c>
      <c r="H267" s="26" t="s">
        <v>166</v>
      </c>
      <c r="I267" s="134"/>
      <c r="J267" s="134"/>
      <c r="K267" s="134"/>
      <c r="L267" s="134"/>
      <c r="M267" s="134"/>
      <c r="N267" s="74"/>
      <c r="O267" s="73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</row>
    <row r="268" spans="1:105" x14ac:dyDescent="0.25">
      <c r="A268" s="73"/>
      <c r="B268" s="73"/>
      <c r="C268" s="73"/>
      <c r="D268" s="73"/>
      <c r="E268" s="73"/>
      <c r="F268" s="115" t="s">
        <v>394</v>
      </c>
      <c r="G268" s="115" t="s">
        <v>198</v>
      </c>
      <c r="H268" s="26" t="s">
        <v>166</v>
      </c>
      <c r="I268" s="134"/>
      <c r="J268" s="134"/>
      <c r="K268" s="134"/>
      <c r="L268" s="134"/>
      <c r="M268" s="134"/>
      <c r="N268" s="74"/>
      <c r="O268" s="73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</row>
    <row r="269" spans="1:105" x14ac:dyDescent="0.25">
      <c r="A269" s="73"/>
      <c r="B269" s="73"/>
      <c r="C269" s="73"/>
      <c r="D269" s="73"/>
      <c r="E269" s="73"/>
      <c r="F269" s="115" t="s">
        <v>395</v>
      </c>
      <c r="G269" s="115" t="s">
        <v>198</v>
      </c>
      <c r="H269" s="26" t="s">
        <v>166</v>
      </c>
      <c r="I269" s="134"/>
      <c r="J269" s="134"/>
      <c r="K269" s="134"/>
      <c r="L269" s="134"/>
      <c r="M269" s="134"/>
      <c r="N269" s="74"/>
      <c r="O269" s="73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</row>
    <row r="270" spans="1:105" x14ac:dyDescent="0.25">
      <c r="A270" s="73"/>
      <c r="B270" s="73"/>
      <c r="C270" s="73"/>
      <c r="D270" s="73"/>
      <c r="E270" s="73"/>
      <c r="F270" s="115" t="s">
        <v>229</v>
      </c>
      <c r="G270" s="115" t="s">
        <v>198</v>
      </c>
      <c r="H270" s="26" t="s">
        <v>40</v>
      </c>
      <c r="I270" s="134"/>
      <c r="J270" s="134"/>
      <c r="K270" s="134"/>
      <c r="L270" s="134"/>
      <c r="M270" s="134"/>
      <c r="N270" s="74"/>
      <c r="O270" s="73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</row>
    <row r="271" spans="1:105" x14ac:dyDescent="0.25">
      <c r="A271" s="73"/>
      <c r="B271" s="73"/>
      <c r="C271" s="73"/>
      <c r="D271" s="73"/>
      <c r="E271" s="73"/>
      <c r="F271" s="117" t="s">
        <v>230</v>
      </c>
      <c r="G271" s="117" t="s">
        <v>198</v>
      </c>
      <c r="H271" s="27" t="s">
        <v>40</v>
      </c>
      <c r="I271" s="134"/>
      <c r="J271" s="134"/>
      <c r="K271" s="134"/>
      <c r="L271" s="134"/>
      <c r="M271" s="134"/>
      <c r="N271" s="74"/>
      <c r="O271" s="73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</row>
    <row r="272" spans="1:105" x14ac:dyDescent="0.25">
      <c r="A272" s="73"/>
      <c r="B272" s="73"/>
      <c r="C272" s="73"/>
      <c r="D272" s="73"/>
      <c r="E272" s="73"/>
      <c r="F272" s="73"/>
      <c r="G272" s="73"/>
      <c r="H272" s="74"/>
      <c r="I272" s="74"/>
      <c r="J272" s="74"/>
      <c r="K272" s="74"/>
      <c r="L272" s="74"/>
      <c r="M272" s="74"/>
      <c r="N272" s="74"/>
      <c r="O272" s="73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</row>
    <row r="273" spans="1:105" x14ac:dyDescent="0.25">
      <c r="A273" s="101"/>
      <c r="B273" s="101"/>
      <c r="C273" s="110" t="s">
        <v>696</v>
      </c>
      <c r="D273" s="110"/>
      <c r="E273" s="110"/>
      <c r="F273" s="110"/>
      <c r="G273" s="110"/>
      <c r="H273" s="111"/>
      <c r="I273" s="111"/>
      <c r="J273" s="111"/>
      <c r="K273" s="111"/>
      <c r="L273" s="111"/>
      <c r="M273" s="111"/>
      <c r="N273" s="111"/>
      <c r="O273" s="110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</row>
    <row r="274" spans="1:105" x14ac:dyDescent="0.25">
      <c r="A274" s="73"/>
      <c r="B274" s="73"/>
      <c r="C274" s="109"/>
      <c r="D274" s="109"/>
      <c r="E274" s="73"/>
      <c r="F274" s="73"/>
      <c r="G274" s="73"/>
      <c r="H274" s="74"/>
      <c r="I274" s="74"/>
      <c r="J274" s="74"/>
      <c r="K274" s="74"/>
      <c r="L274" s="74"/>
      <c r="M274" s="74"/>
      <c r="N274" s="74"/>
      <c r="O274" s="73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</row>
    <row r="275" spans="1:105" x14ac:dyDescent="0.25">
      <c r="A275" s="73"/>
      <c r="B275" s="73"/>
      <c r="C275" s="109"/>
      <c r="D275" s="109" t="s">
        <v>693</v>
      </c>
      <c r="E275" s="73"/>
      <c r="F275" s="73"/>
      <c r="G275" s="73"/>
      <c r="H275" s="74"/>
      <c r="I275" s="74"/>
      <c r="J275" s="74"/>
      <c r="K275" s="74"/>
      <c r="L275" s="74"/>
      <c r="M275" s="74"/>
      <c r="N275" s="74"/>
      <c r="O275" s="73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</row>
    <row r="276" spans="1:105" s="17" customFormat="1" x14ac:dyDescent="0.25">
      <c r="A276" s="73"/>
      <c r="B276" s="73"/>
      <c r="C276" s="109"/>
      <c r="D276" s="109" t="s">
        <v>694</v>
      </c>
      <c r="E276" s="73"/>
      <c r="F276" s="73"/>
      <c r="G276" s="73"/>
      <c r="H276" s="74"/>
      <c r="I276" s="74"/>
      <c r="J276" s="74"/>
      <c r="K276" s="74"/>
      <c r="L276" s="74"/>
      <c r="M276" s="74"/>
      <c r="N276" s="74"/>
      <c r="O276" s="73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</row>
    <row r="277" spans="1:105" x14ac:dyDescent="0.25">
      <c r="A277" s="73"/>
      <c r="B277" s="73"/>
      <c r="C277" s="109"/>
      <c r="D277" s="109"/>
      <c r="E277" s="73"/>
      <c r="F277" s="73"/>
      <c r="G277" s="73"/>
      <c r="H277" s="74"/>
      <c r="I277" s="74"/>
      <c r="J277" s="74"/>
      <c r="K277" s="74"/>
      <c r="L277" s="74"/>
      <c r="M277" s="74"/>
      <c r="N277" s="74"/>
      <c r="O277" s="73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</row>
    <row r="278" spans="1:105" x14ac:dyDescent="0.25">
      <c r="A278" s="73"/>
      <c r="B278" s="73"/>
      <c r="C278" s="73"/>
      <c r="D278" s="109"/>
      <c r="E278" s="112" t="s">
        <v>562</v>
      </c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</row>
    <row r="279" spans="1:105" x14ac:dyDescent="0.25">
      <c r="A279" s="73"/>
      <c r="B279" s="73"/>
      <c r="C279" s="73"/>
      <c r="D279" s="73"/>
      <c r="E279" s="73"/>
      <c r="F279" s="113" t="s">
        <v>180</v>
      </c>
      <c r="G279" s="113" t="s">
        <v>181</v>
      </c>
      <c r="H279" s="33" t="s">
        <v>37</v>
      </c>
      <c r="I279" s="134"/>
      <c r="J279" s="134"/>
      <c r="K279" s="134"/>
      <c r="L279" s="134"/>
      <c r="M279" s="134"/>
      <c r="N279" s="74"/>
      <c r="O279" s="73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</row>
    <row r="280" spans="1:105" x14ac:dyDescent="0.25">
      <c r="A280" s="73"/>
      <c r="B280" s="73"/>
      <c r="C280" s="73"/>
      <c r="D280" s="73"/>
      <c r="E280" s="73"/>
      <c r="F280" s="115" t="s">
        <v>182</v>
      </c>
      <c r="G280" s="115" t="s">
        <v>181</v>
      </c>
      <c r="H280" s="26" t="s">
        <v>36</v>
      </c>
      <c r="I280" s="134"/>
      <c r="J280" s="134"/>
      <c r="K280" s="134"/>
      <c r="L280" s="134"/>
      <c r="M280" s="134"/>
      <c r="N280" s="74"/>
      <c r="O280" s="73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</row>
    <row r="281" spans="1:105" x14ac:dyDescent="0.25">
      <c r="A281" s="73"/>
      <c r="B281" s="73"/>
      <c r="C281" s="73"/>
      <c r="D281" s="73"/>
      <c r="E281" s="73"/>
      <c r="F281" s="115" t="s">
        <v>184</v>
      </c>
      <c r="G281" s="115" t="s">
        <v>181</v>
      </c>
      <c r="H281" s="26" t="s">
        <v>38</v>
      </c>
      <c r="I281" s="134"/>
      <c r="J281" s="134"/>
      <c r="K281" s="134"/>
      <c r="L281" s="134"/>
      <c r="M281" s="134"/>
      <c r="N281" s="74"/>
      <c r="O281" s="73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</row>
    <row r="282" spans="1:105" x14ac:dyDescent="0.25">
      <c r="A282" s="73"/>
      <c r="B282" s="73"/>
      <c r="C282" s="73"/>
      <c r="D282" s="73"/>
      <c r="E282" s="73"/>
      <c r="F282" s="115" t="s">
        <v>195</v>
      </c>
      <c r="G282" s="115" t="s">
        <v>181</v>
      </c>
      <c r="H282" s="26" t="s">
        <v>35</v>
      </c>
      <c r="I282" s="134"/>
      <c r="J282" s="134"/>
      <c r="K282" s="134"/>
      <c r="L282" s="134"/>
      <c r="M282" s="134"/>
      <c r="N282" s="74"/>
      <c r="O282" s="73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</row>
    <row r="283" spans="1:105" x14ac:dyDescent="0.25">
      <c r="A283" s="73"/>
      <c r="B283" s="73"/>
      <c r="C283" s="73"/>
      <c r="D283" s="73"/>
      <c r="E283" s="73"/>
      <c r="F283" s="117" t="s">
        <v>196</v>
      </c>
      <c r="G283" s="117" t="s">
        <v>181</v>
      </c>
      <c r="H283" s="27" t="s">
        <v>513</v>
      </c>
      <c r="I283" s="134"/>
      <c r="J283" s="134"/>
      <c r="K283" s="134"/>
      <c r="L283" s="134"/>
      <c r="M283" s="134"/>
      <c r="N283" s="74"/>
      <c r="O283" s="73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</row>
    <row r="284" spans="1:105" x14ac:dyDescent="0.25">
      <c r="A284" s="73"/>
      <c r="B284" s="73"/>
      <c r="C284" s="73"/>
      <c r="D284" s="73"/>
      <c r="E284" s="73"/>
      <c r="F284" s="73"/>
      <c r="G284" s="73"/>
      <c r="H284" s="74"/>
      <c r="I284" s="74"/>
      <c r="J284" s="74"/>
      <c r="K284" s="74"/>
      <c r="L284" s="74"/>
      <c r="M284" s="74"/>
      <c r="N284" s="74"/>
      <c r="O284" s="73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</row>
    <row r="285" spans="1:105" x14ac:dyDescent="0.25">
      <c r="A285" s="115"/>
      <c r="B285" s="73"/>
      <c r="C285" s="73"/>
      <c r="D285" s="73"/>
      <c r="E285" s="112" t="s">
        <v>695</v>
      </c>
      <c r="F285" s="73"/>
      <c r="G285" s="73"/>
      <c r="H285" s="74"/>
      <c r="I285" s="132" t="s">
        <v>314</v>
      </c>
      <c r="J285" s="132"/>
      <c r="K285" s="132"/>
      <c r="L285" s="132"/>
      <c r="M285" s="132"/>
      <c r="N285" s="132"/>
      <c r="O285" s="115" t="s">
        <v>360</v>
      </c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</row>
    <row r="286" spans="1:105" x14ac:dyDescent="0.25">
      <c r="A286" s="73"/>
      <c r="B286" s="73"/>
      <c r="C286" s="73"/>
      <c r="D286" s="73"/>
      <c r="E286" s="73"/>
      <c r="F286" s="113" t="s">
        <v>197</v>
      </c>
      <c r="G286" s="113" t="s">
        <v>198</v>
      </c>
      <c r="H286" s="33" t="s">
        <v>513</v>
      </c>
      <c r="I286" s="134"/>
      <c r="J286" s="134"/>
      <c r="K286" s="134"/>
      <c r="L286" s="134"/>
      <c r="M286" s="134"/>
      <c r="N286" s="74"/>
      <c r="O286" s="73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</row>
    <row r="287" spans="1:105" x14ac:dyDescent="0.25">
      <c r="A287" s="73"/>
      <c r="B287" s="73"/>
      <c r="C287" s="73"/>
      <c r="D287" s="73"/>
      <c r="E287" s="73"/>
      <c r="F287" s="115" t="s">
        <v>199</v>
      </c>
      <c r="G287" s="115" t="s">
        <v>198</v>
      </c>
      <c r="H287" s="26" t="s">
        <v>513</v>
      </c>
      <c r="I287" s="134"/>
      <c r="J287" s="134"/>
      <c r="K287" s="134"/>
      <c r="L287" s="134"/>
      <c r="M287" s="134"/>
      <c r="N287" s="74"/>
      <c r="O287" s="73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</row>
    <row r="288" spans="1:105" x14ac:dyDescent="0.25">
      <c r="A288" s="73"/>
      <c r="B288" s="73"/>
      <c r="C288" s="73"/>
      <c r="D288" s="73"/>
      <c r="E288" s="73"/>
      <c r="F288" s="115" t="s">
        <v>50</v>
      </c>
      <c r="G288" s="115" t="s">
        <v>198</v>
      </c>
      <c r="H288" s="26" t="s">
        <v>513</v>
      </c>
      <c r="I288" s="134"/>
      <c r="J288" s="134"/>
      <c r="K288" s="134"/>
      <c r="L288" s="134"/>
      <c r="M288" s="134"/>
      <c r="N288" s="74"/>
      <c r="O288" s="73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</row>
    <row r="289" spans="1:105" x14ac:dyDescent="0.25">
      <c r="A289" s="73"/>
      <c r="B289" s="73"/>
      <c r="C289" s="73"/>
      <c r="D289" s="73"/>
      <c r="E289" s="73"/>
      <c r="F289" s="115" t="s">
        <v>200</v>
      </c>
      <c r="G289" s="115" t="s">
        <v>198</v>
      </c>
      <c r="H289" s="26" t="s">
        <v>513</v>
      </c>
      <c r="I289" s="134"/>
      <c r="J289" s="134"/>
      <c r="K289" s="134"/>
      <c r="L289" s="134"/>
      <c r="M289" s="134"/>
      <c r="N289" s="74"/>
      <c r="O289" s="73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</row>
    <row r="290" spans="1:105" x14ac:dyDescent="0.25">
      <c r="A290" s="73"/>
      <c r="B290" s="73"/>
      <c r="C290" s="73"/>
      <c r="D290" s="73"/>
      <c r="E290" s="73"/>
      <c r="F290" s="115" t="s">
        <v>201</v>
      </c>
      <c r="G290" s="115" t="s">
        <v>198</v>
      </c>
      <c r="H290" s="26" t="s">
        <v>513</v>
      </c>
      <c r="I290" s="134"/>
      <c r="J290" s="134"/>
      <c r="K290" s="134"/>
      <c r="L290" s="134"/>
      <c r="M290" s="134"/>
      <c r="N290" s="74"/>
      <c r="O290" s="73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</row>
    <row r="291" spans="1:105" x14ac:dyDescent="0.25">
      <c r="A291" s="73"/>
      <c r="B291" s="73"/>
      <c r="C291" s="73"/>
      <c r="D291" s="73"/>
      <c r="E291" s="73"/>
      <c r="F291" s="115" t="s">
        <v>202</v>
      </c>
      <c r="G291" s="115" t="s">
        <v>198</v>
      </c>
      <c r="H291" s="26" t="s">
        <v>513</v>
      </c>
      <c r="I291" s="134"/>
      <c r="J291" s="134"/>
      <c r="K291" s="134"/>
      <c r="L291" s="134"/>
      <c r="M291" s="134"/>
      <c r="N291" s="74"/>
      <c r="O291" s="73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</row>
    <row r="292" spans="1:105" x14ac:dyDescent="0.25">
      <c r="A292" s="73"/>
      <c r="B292" s="73"/>
      <c r="C292" s="73"/>
      <c r="D292" s="73"/>
      <c r="E292" s="73"/>
      <c r="F292" s="115" t="s">
        <v>203</v>
      </c>
      <c r="G292" s="115" t="s">
        <v>198</v>
      </c>
      <c r="H292" s="26" t="s">
        <v>513</v>
      </c>
      <c r="I292" s="134"/>
      <c r="J292" s="134"/>
      <c r="K292" s="134"/>
      <c r="L292" s="134"/>
      <c r="M292" s="134"/>
      <c r="N292" s="74"/>
      <c r="O292" s="73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</row>
    <row r="293" spans="1:105" x14ac:dyDescent="0.25">
      <c r="A293" s="73"/>
      <c r="B293" s="73"/>
      <c r="C293" s="73"/>
      <c r="D293" s="73"/>
      <c r="E293" s="73"/>
      <c r="F293" s="115" t="s">
        <v>204</v>
      </c>
      <c r="G293" s="115" t="s">
        <v>198</v>
      </c>
      <c r="H293" s="26" t="s">
        <v>513</v>
      </c>
      <c r="I293" s="134"/>
      <c r="J293" s="134"/>
      <c r="K293" s="134"/>
      <c r="L293" s="134"/>
      <c r="M293" s="134"/>
      <c r="N293" s="74"/>
      <c r="O293" s="73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</row>
    <row r="294" spans="1:105" x14ac:dyDescent="0.25">
      <c r="A294" s="73"/>
      <c r="B294" s="73"/>
      <c r="C294" s="73"/>
      <c r="D294" s="73"/>
      <c r="E294" s="73"/>
      <c r="F294" s="115" t="s">
        <v>205</v>
      </c>
      <c r="G294" s="115" t="s">
        <v>198</v>
      </c>
      <c r="H294" s="26" t="s">
        <v>513</v>
      </c>
      <c r="I294" s="134"/>
      <c r="J294" s="134"/>
      <c r="K294" s="134"/>
      <c r="L294" s="134"/>
      <c r="M294" s="134"/>
      <c r="N294" s="74"/>
      <c r="O294" s="73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</row>
    <row r="295" spans="1:105" x14ac:dyDescent="0.25">
      <c r="A295" s="73"/>
      <c r="B295" s="73"/>
      <c r="C295" s="73"/>
      <c r="D295" s="73"/>
      <c r="E295" s="73"/>
      <c r="F295" s="115" t="s">
        <v>206</v>
      </c>
      <c r="G295" s="115" t="s">
        <v>198</v>
      </c>
      <c r="H295" s="26" t="s">
        <v>513</v>
      </c>
      <c r="I295" s="134"/>
      <c r="J295" s="134"/>
      <c r="K295" s="134"/>
      <c r="L295" s="134"/>
      <c r="M295" s="134"/>
      <c r="N295" s="74"/>
      <c r="O295" s="73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</row>
    <row r="296" spans="1:105" x14ac:dyDescent="0.25">
      <c r="A296" s="73"/>
      <c r="B296" s="73"/>
      <c r="C296" s="73"/>
      <c r="D296" s="73"/>
      <c r="E296" s="73"/>
      <c r="F296" s="115" t="s">
        <v>207</v>
      </c>
      <c r="G296" s="115" t="s">
        <v>198</v>
      </c>
      <c r="H296" s="26" t="s">
        <v>513</v>
      </c>
      <c r="I296" s="134"/>
      <c r="J296" s="134"/>
      <c r="K296" s="134"/>
      <c r="L296" s="134"/>
      <c r="M296" s="134"/>
      <c r="N296" s="74"/>
      <c r="O296" s="73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</row>
    <row r="297" spans="1:105" x14ac:dyDescent="0.25">
      <c r="A297" s="73"/>
      <c r="B297" s="73"/>
      <c r="C297" s="73"/>
      <c r="D297" s="73"/>
      <c r="E297" s="73"/>
      <c r="F297" s="115" t="s">
        <v>208</v>
      </c>
      <c r="G297" s="115" t="s">
        <v>198</v>
      </c>
      <c r="H297" s="26" t="s">
        <v>513</v>
      </c>
      <c r="I297" s="134"/>
      <c r="J297" s="134"/>
      <c r="K297" s="134"/>
      <c r="L297" s="134"/>
      <c r="M297" s="134"/>
      <c r="N297" s="74"/>
      <c r="O297" s="73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</row>
    <row r="298" spans="1:105" x14ac:dyDescent="0.25">
      <c r="A298" s="73"/>
      <c r="B298" s="73"/>
      <c r="C298" s="73"/>
      <c r="D298" s="73"/>
      <c r="E298" s="73"/>
      <c r="F298" s="115" t="s">
        <v>209</v>
      </c>
      <c r="G298" s="115" t="s">
        <v>198</v>
      </c>
      <c r="H298" s="26" t="s">
        <v>513</v>
      </c>
      <c r="I298" s="134"/>
      <c r="J298" s="134"/>
      <c r="K298" s="134"/>
      <c r="L298" s="134"/>
      <c r="M298" s="134"/>
      <c r="N298" s="74"/>
      <c r="O298" s="73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</row>
    <row r="299" spans="1:105" x14ac:dyDescent="0.25">
      <c r="A299" s="73"/>
      <c r="B299" s="73"/>
      <c r="C299" s="73"/>
      <c r="D299" s="73"/>
      <c r="E299" s="73"/>
      <c r="F299" s="115" t="s">
        <v>368</v>
      </c>
      <c r="G299" s="115" t="s">
        <v>198</v>
      </c>
      <c r="H299" s="26" t="s">
        <v>513</v>
      </c>
      <c r="I299" s="134"/>
      <c r="J299" s="134"/>
      <c r="K299" s="134"/>
      <c r="L299" s="134"/>
      <c r="M299" s="134"/>
      <c r="N299" s="74"/>
      <c r="O299" s="73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</row>
    <row r="300" spans="1:105" x14ac:dyDescent="0.25">
      <c r="A300" s="73"/>
      <c r="B300" s="73"/>
      <c r="C300" s="73"/>
      <c r="D300" s="73"/>
      <c r="E300" s="73"/>
      <c r="F300" s="115" t="s">
        <v>369</v>
      </c>
      <c r="G300" s="115" t="s">
        <v>198</v>
      </c>
      <c r="H300" s="26" t="s">
        <v>513</v>
      </c>
      <c r="I300" s="134"/>
      <c r="J300" s="134"/>
      <c r="K300" s="134"/>
      <c r="L300" s="134"/>
      <c r="M300" s="134"/>
      <c r="N300" s="74"/>
      <c r="O300" s="73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</row>
    <row r="301" spans="1:105" x14ac:dyDescent="0.25">
      <c r="A301" s="73"/>
      <c r="B301" s="73"/>
      <c r="C301" s="73"/>
      <c r="D301" s="73"/>
      <c r="E301" s="73"/>
      <c r="F301" s="115" t="s">
        <v>370</v>
      </c>
      <c r="G301" s="115" t="s">
        <v>198</v>
      </c>
      <c r="H301" s="26" t="s">
        <v>513</v>
      </c>
      <c r="I301" s="134"/>
      <c r="J301" s="134"/>
      <c r="K301" s="134"/>
      <c r="L301" s="134"/>
      <c r="M301" s="134"/>
      <c r="N301" s="74"/>
      <c r="O301" s="73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</row>
    <row r="302" spans="1:105" x14ac:dyDescent="0.25">
      <c r="A302" s="73"/>
      <c r="B302" s="73"/>
      <c r="C302" s="73"/>
      <c r="D302" s="73"/>
      <c r="E302" s="73"/>
      <c r="F302" s="115" t="s">
        <v>371</v>
      </c>
      <c r="G302" s="115" t="s">
        <v>198</v>
      </c>
      <c r="H302" s="26" t="s">
        <v>513</v>
      </c>
      <c r="I302" s="134"/>
      <c r="J302" s="134"/>
      <c r="K302" s="134"/>
      <c r="L302" s="134"/>
      <c r="M302" s="134"/>
      <c r="N302" s="74"/>
      <c r="O302" s="73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</row>
    <row r="303" spans="1:105" x14ac:dyDescent="0.25">
      <c r="A303" s="73"/>
      <c r="B303" s="73"/>
      <c r="C303" s="73"/>
      <c r="D303" s="73"/>
      <c r="E303" s="73"/>
      <c r="F303" s="115" t="s">
        <v>64</v>
      </c>
      <c r="G303" s="115" t="s">
        <v>198</v>
      </c>
      <c r="H303" s="26" t="s">
        <v>513</v>
      </c>
      <c r="I303" s="134"/>
      <c r="J303" s="134"/>
      <c r="K303" s="134"/>
      <c r="L303" s="134"/>
      <c r="M303" s="134"/>
      <c r="N303" s="74"/>
      <c r="O303" s="73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</row>
    <row r="304" spans="1:105" x14ac:dyDescent="0.25">
      <c r="A304" s="73"/>
      <c r="B304" s="73"/>
      <c r="C304" s="73"/>
      <c r="D304" s="73"/>
      <c r="E304" s="73"/>
      <c r="F304" s="115" t="s">
        <v>65</v>
      </c>
      <c r="G304" s="115" t="s">
        <v>198</v>
      </c>
      <c r="H304" s="26" t="s">
        <v>513</v>
      </c>
      <c r="I304" s="134"/>
      <c r="J304" s="134"/>
      <c r="K304" s="134"/>
      <c r="L304" s="134"/>
      <c r="M304" s="134"/>
      <c r="N304" s="74"/>
      <c r="O304" s="73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</row>
    <row r="305" spans="1:105" x14ac:dyDescent="0.25">
      <c r="A305" s="73"/>
      <c r="B305" s="73"/>
      <c r="C305" s="73"/>
      <c r="D305" s="73"/>
      <c r="E305" s="73"/>
      <c r="F305" s="115" t="s">
        <v>210</v>
      </c>
      <c r="G305" s="115" t="s">
        <v>198</v>
      </c>
      <c r="H305" s="26" t="s">
        <v>513</v>
      </c>
      <c r="I305" s="134"/>
      <c r="J305" s="134"/>
      <c r="K305" s="134"/>
      <c r="L305" s="134"/>
      <c r="M305" s="134"/>
      <c r="N305" s="74"/>
      <c r="O305" s="73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</row>
    <row r="306" spans="1:105" x14ac:dyDescent="0.25">
      <c r="A306" s="73"/>
      <c r="B306" s="73"/>
      <c r="C306" s="73"/>
      <c r="D306" s="73"/>
      <c r="E306" s="73"/>
      <c r="F306" s="115" t="s">
        <v>211</v>
      </c>
      <c r="G306" s="115" t="s">
        <v>198</v>
      </c>
      <c r="H306" s="26" t="s">
        <v>513</v>
      </c>
      <c r="I306" s="134"/>
      <c r="J306" s="134"/>
      <c r="K306" s="134"/>
      <c r="L306" s="134"/>
      <c r="M306" s="134"/>
      <c r="N306" s="74"/>
      <c r="O306" s="73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</row>
    <row r="307" spans="1:105" x14ac:dyDescent="0.25">
      <c r="A307" s="73"/>
      <c r="B307" s="73"/>
      <c r="C307" s="73"/>
      <c r="D307" s="73"/>
      <c r="E307" s="73"/>
      <c r="F307" s="115" t="s">
        <v>212</v>
      </c>
      <c r="G307" s="115" t="s">
        <v>198</v>
      </c>
      <c r="H307" s="26" t="s">
        <v>513</v>
      </c>
      <c r="I307" s="134"/>
      <c r="J307" s="134"/>
      <c r="K307" s="134"/>
      <c r="L307" s="134"/>
      <c r="M307" s="134"/>
      <c r="N307" s="74"/>
      <c r="O307" s="73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</row>
    <row r="308" spans="1:105" x14ac:dyDescent="0.25">
      <c r="A308" s="73"/>
      <c r="B308" s="73"/>
      <c r="C308" s="73"/>
      <c r="D308" s="73"/>
      <c r="E308" s="73"/>
      <c r="F308" s="115" t="s">
        <v>372</v>
      </c>
      <c r="G308" s="115" t="s">
        <v>198</v>
      </c>
      <c r="H308" s="26" t="s">
        <v>38</v>
      </c>
      <c r="I308" s="134"/>
      <c r="J308" s="134"/>
      <c r="K308" s="134"/>
      <c r="L308" s="134"/>
      <c r="M308" s="134"/>
      <c r="N308" s="74"/>
      <c r="O308" s="73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</row>
    <row r="309" spans="1:105" x14ac:dyDescent="0.25">
      <c r="A309" s="73"/>
      <c r="B309" s="73"/>
      <c r="C309" s="73"/>
      <c r="D309" s="73"/>
      <c r="E309" s="73"/>
      <c r="F309" s="115" t="s">
        <v>373</v>
      </c>
      <c r="G309" s="115" t="s">
        <v>198</v>
      </c>
      <c r="H309" s="26" t="s">
        <v>38</v>
      </c>
      <c r="I309" s="134"/>
      <c r="J309" s="134"/>
      <c r="K309" s="134"/>
      <c r="L309" s="134"/>
      <c r="M309" s="134"/>
      <c r="N309" s="74"/>
      <c r="O309" s="73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</row>
    <row r="310" spans="1:105" x14ac:dyDescent="0.25">
      <c r="A310" s="73"/>
      <c r="B310" s="73"/>
      <c r="C310" s="73"/>
      <c r="D310" s="73"/>
      <c r="E310" s="73"/>
      <c r="F310" s="115" t="s">
        <v>71</v>
      </c>
      <c r="G310" s="115" t="s">
        <v>198</v>
      </c>
      <c r="H310" s="26" t="s">
        <v>513</v>
      </c>
      <c r="I310" s="134"/>
      <c r="J310" s="134"/>
      <c r="K310" s="134"/>
      <c r="L310" s="134"/>
      <c r="M310" s="134"/>
      <c r="N310" s="74"/>
      <c r="O310" s="73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</row>
    <row r="311" spans="1:105" x14ac:dyDescent="0.25">
      <c r="A311" s="73"/>
      <c r="B311" s="73"/>
      <c r="C311" s="73"/>
      <c r="D311" s="73"/>
      <c r="E311" s="73"/>
      <c r="F311" s="115" t="s">
        <v>72</v>
      </c>
      <c r="G311" s="115" t="s">
        <v>198</v>
      </c>
      <c r="H311" s="26" t="s">
        <v>513</v>
      </c>
      <c r="I311" s="134"/>
      <c r="J311" s="134"/>
      <c r="K311" s="134"/>
      <c r="L311" s="134"/>
      <c r="M311" s="134"/>
      <c r="N311" s="74"/>
      <c r="O311" s="73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</row>
    <row r="312" spans="1:105" x14ac:dyDescent="0.25">
      <c r="A312" s="73"/>
      <c r="B312" s="73"/>
      <c r="C312" s="73"/>
      <c r="D312" s="73"/>
      <c r="E312" s="73"/>
      <c r="F312" s="115" t="s">
        <v>73</v>
      </c>
      <c r="G312" s="115" t="s">
        <v>198</v>
      </c>
      <c r="H312" s="26" t="s">
        <v>513</v>
      </c>
      <c r="I312" s="134"/>
      <c r="J312" s="134"/>
      <c r="K312" s="134"/>
      <c r="L312" s="134"/>
      <c r="M312" s="134"/>
      <c r="N312" s="74"/>
      <c r="O312" s="73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</row>
    <row r="313" spans="1:105" x14ac:dyDescent="0.25">
      <c r="A313" s="73"/>
      <c r="B313" s="73"/>
      <c r="C313" s="73"/>
      <c r="D313" s="73"/>
      <c r="E313" s="73"/>
      <c r="F313" s="115" t="s">
        <v>374</v>
      </c>
      <c r="G313" s="115" t="s">
        <v>198</v>
      </c>
      <c r="H313" s="26" t="s">
        <v>513</v>
      </c>
      <c r="I313" s="134"/>
      <c r="J313" s="134"/>
      <c r="K313" s="134"/>
      <c r="L313" s="134"/>
      <c r="M313" s="134"/>
      <c r="N313" s="74"/>
      <c r="O313" s="7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</row>
    <row r="314" spans="1:105" x14ac:dyDescent="0.25">
      <c r="A314" s="73"/>
      <c r="B314" s="73"/>
      <c r="C314" s="73"/>
      <c r="D314" s="73"/>
      <c r="E314" s="73"/>
      <c r="F314" s="115" t="s">
        <v>375</v>
      </c>
      <c r="G314" s="115" t="s">
        <v>198</v>
      </c>
      <c r="H314" s="26" t="s">
        <v>513</v>
      </c>
      <c r="I314" s="134"/>
      <c r="J314" s="134"/>
      <c r="K314" s="134"/>
      <c r="L314" s="134"/>
      <c r="M314" s="134"/>
      <c r="N314" s="74"/>
      <c r="O314" s="73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</row>
    <row r="315" spans="1:105" x14ac:dyDescent="0.25">
      <c r="A315" s="73"/>
      <c r="B315" s="73"/>
      <c r="C315" s="73"/>
      <c r="D315" s="73"/>
      <c r="E315" s="73"/>
      <c r="F315" s="115" t="s">
        <v>376</v>
      </c>
      <c r="G315" s="115" t="s">
        <v>198</v>
      </c>
      <c r="H315" s="26" t="s">
        <v>38</v>
      </c>
      <c r="I315" s="134"/>
      <c r="J315" s="134"/>
      <c r="K315" s="134"/>
      <c r="L315" s="134"/>
      <c r="M315" s="134"/>
      <c r="N315" s="74"/>
      <c r="O315" s="73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</row>
    <row r="316" spans="1:105" x14ac:dyDescent="0.25">
      <c r="A316" s="73"/>
      <c r="B316" s="73"/>
      <c r="C316" s="73"/>
      <c r="D316" s="73"/>
      <c r="E316" s="73"/>
      <c r="F316" s="115" t="s">
        <v>377</v>
      </c>
      <c r="G316" s="115" t="s">
        <v>198</v>
      </c>
      <c r="H316" s="26" t="s">
        <v>38</v>
      </c>
      <c r="I316" s="134"/>
      <c r="J316" s="134"/>
      <c r="K316" s="134"/>
      <c r="L316" s="134"/>
      <c r="M316" s="134"/>
      <c r="N316" s="74"/>
      <c r="O316" s="73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</row>
    <row r="317" spans="1:105" x14ac:dyDescent="0.25">
      <c r="A317" s="73"/>
      <c r="B317" s="73"/>
      <c r="C317" s="73"/>
      <c r="D317" s="73"/>
      <c r="E317" s="73"/>
      <c r="F317" s="115" t="s">
        <v>378</v>
      </c>
      <c r="G317" s="115" t="s">
        <v>198</v>
      </c>
      <c r="H317" s="26" t="s">
        <v>513</v>
      </c>
      <c r="I317" s="134"/>
      <c r="J317" s="134"/>
      <c r="K317" s="134"/>
      <c r="L317" s="134"/>
      <c r="M317" s="134"/>
      <c r="N317" s="74"/>
      <c r="O317" s="73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</row>
    <row r="318" spans="1:105" x14ac:dyDescent="0.25">
      <c r="A318" s="73"/>
      <c r="B318" s="73"/>
      <c r="C318" s="73"/>
      <c r="D318" s="73"/>
      <c r="E318" s="73"/>
      <c r="F318" s="115" t="s">
        <v>379</v>
      </c>
      <c r="G318" s="115" t="s">
        <v>198</v>
      </c>
      <c r="H318" s="26" t="s">
        <v>513</v>
      </c>
      <c r="I318" s="134"/>
      <c r="J318" s="134"/>
      <c r="K318" s="134"/>
      <c r="L318" s="134"/>
      <c r="M318" s="134"/>
      <c r="N318" s="74"/>
      <c r="O318" s="73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</row>
    <row r="319" spans="1:105" x14ac:dyDescent="0.25">
      <c r="A319" s="73"/>
      <c r="B319" s="73"/>
      <c r="C319" s="73"/>
      <c r="D319" s="73"/>
      <c r="E319" s="73"/>
      <c r="F319" s="115" t="s">
        <v>80</v>
      </c>
      <c r="G319" s="115" t="s">
        <v>198</v>
      </c>
      <c r="H319" s="26" t="s">
        <v>513</v>
      </c>
      <c r="I319" s="134"/>
      <c r="J319" s="134"/>
      <c r="K319" s="134"/>
      <c r="L319" s="134"/>
      <c r="M319" s="134"/>
      <c r="N319" s="74"/>
      <c r="O319" s="73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</row>
    <row r="320" spans="1:105" x14ac:dyDescent="0.25">
      <c r="A320" s="73"/>
      <c r="B320" s="73"/>
      <c r="C320" s="73"/>
      <c r="D320" s="73"/>
      <c r="E320" s="73"/>
      <c r="F320" s="115" t="s">
        <v>380</v>
      </c>
      <c r="G320" s="115" t="s">
        <v>198</v>
      </c>
      <c r="H320" s="26" t="s">
        <v>513</v>
      </c>
      <c r="I320" s="134"/>
      <c r="J320" s="134"/>
      <c r="K320" s="134"/>
      <c r="L320" s="134"/>
      <c r="M320" s="134"/>
      <c r="N320" s="74"/>
      <c r="O320" s="73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</row>
    <row r="321" spans="1:105" x14ac:dyDescent="0.25">
      <c r="A321" s="73"/>
      <c r="B321" s="73"/>
      <c r="C321" s="73"/>
      <c r="D321" s="73"/>
      <c r="E321" s="73"/>
      <c r="F321" s="115" t="s">
        <v>381</v>
      </c>
      <c r="G321" s="115" t="s">
        <v>198</v>
      </c>
      <c r="H321" s="26" t="s">
        <v>513</v>
      </c>
      <c r="I321" s="134"/>
      <c r="J321" s="134"/>
      <c r="K321" s="134"/>
      <c r="L321" s="134"/>
      <c r="M321" s="134"/>
      <c r="N321" s="74"/>
      <c r="O321" s="73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</row>
    <row r="322" spans="1:105" x14ac:dyDescent="0.25">
      <c r="A322" s="73"/>
      <c r="B322" s="73"/>
      <c r="C322" s="73"/>
      <c r="D322" s="73"/>
      <c r="E322" s="73"/>
      <c r="F322" s="115" t="s">
        <v>382</v>
      </c>
      <c r="G322" s="115" t="s">
        <v>198</v>
      </c>
      <c r="H322" s="26" t="s">
        <v>513</v>
      </c>
      <c r="I322" s="134"/>
      <c r="J322" s="134"/>
      <c r="K322" s="134"/>
      <c r="L322" s="134"/>
      <c r="M322" s="134"/>
      <c r="N322" s="74"/>
      <c r="O322" s="73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</row>
    <row r="323" spans="1:105" x14ac:dyDescent="0.25">
      <c r="A323" s="73"/>
      <c r="B323" s="73"/>
      <c r="C323" s="73"/>
      <c r="D323" s="73"/>
      <c r="E323" s="73"/>
      <c r="F323" s="115" t="s">
        <v>383</v>
      </c>
      <c r="G323" s="115" t="s">
        <v>198</v>
      </c>
      <c r="H323" s="26" t="s">
        <v>513</v>
      </c>
      <c r="I323" s="134"/>
      <c r="J323" s="134"/>
      <c r="K323" s="134"/>
      <c r="L323" s="134"/>
      <c r="M323" s="134"/>
      <c r="N323" s="74"/>
      <c r="O323" s="73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</row>
    <row r="324" spans="1:105" x14ac:dyDescent="0.25">
      <c r="A324" s="73"/>
      <c r="B324" s="73"/>
      <c r="C324" s="73"/>
      <c r="D324" s="73"/>
      <c r="E324" s="73"/>
      <c r="F324" s="115" t="s">
        <v>384</v>
      </c>
      <c r="G324" s="115" t="s">
        <v>198</v>
      </c>
      <c r="H324" s="26" t="s">
        <v>513</v>
      </c>
      <c r="I324" s="134"/>
      <c r="J324" s="134"/>
      <c r="K324" s="134"/>
      <c r="L324" s="134"/>
      <c r="M324" s="134"/>
      <c r="N324" s="74"/>
      <c r="O324" s="73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</row>
    <row r="325" spans="1:105" x14ac:dyDescent="0.25">
      <c r="A325" s="73"/>
      <c r="B325" s="73"/>
      <c r="C325" s="73"/>
      <c r="D325" s="73"/>
      <c r="E325" s="73"/>
      <c r="F325" s="115" t="s">
        <v>385</v>
      </c>
      <c r="G325" s="115" t="s">
        <v>198</v>
      </c>
      <c r="H325" s="26" t="s">
        <v>513</v>
      </c>
      <c r="I325" s="134"/>
      <c r="J325" s="134"/>
      <c r="K325" s="134"/>
      <c r="L325" s="134"/>
      <c r="M325" s="134"/>
      <c r="N325" s="74"/>
      <c r="O325" s="73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</row>
    <row r="326" spans="1:105" x14ac:dyDescent="0.25">
      <c r="A326" s="73"/>
      <c r="B326" s="73"/>
      <c r="C326" s="73"/>
      <c r="D326" s="73"/>
      <c r="E326" s="73"/>
      <c r="F326" s="115" t="s">
        <v>213</v>
      </c>
      <c r="G326" s="115" t="s">
        <v>198</v>
      </c>
      <c r="H326" s="26" t="s">
        <v>37</v>
      </c>
      <c r="I326" s="134"/>
      <c r="J326" s="134"/>
      <c r="K326" s="134"/>
      <c r="L326" s="134"/>
      <c r="M326" s="134"/>
      <c r="N326" s="74"/>
      <c r="O326" s="73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</row>
    <row r="327" spans="1:105" x14ac:dyDescent="0.25">
      <c r="A327" s="73"/>
      <c r="B327" s="73"/>
      <c r="C327" s="73"/>
      <c r="D327" s="73"/>
      <c r="E327" s="73"/>
      <c r="F327" s="115" t="s">
        <v>214</v>
      </c>
      <c r="G327" s="115" t="s">
        <v>198</v>
      </c>
      <c r="H327" s="26" t="s">
        <v>37</v>
      </c>
      <c r="I327" s="134"/>
      <c r="J327" s="134"/>
      <c r="K327" s="134"/>
      <c r="L327" s="134"/>
      <c r="M327" s="134"/>
      <c r="N327" s="74"/>
      <c r="O327" s="73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</row>
    <row r="328" spans="1:105" x14ac:dyDescent="0.25">
      <c r="A328" s="73"/>
      <c r="B328" s="73"/>
      <c r="C328" s="73"/>
      <c r="D328" s="73"/>
      <c r="E328" s="73"/>
      <c r="F328" s="115" t="s">
        <v>215</v>
      </c>
      <c r="G328" s="115" t="s">
        <v>198</v>
      </c>
      <c r="H328" s="26" t="s">
        <v>37</v>
      </c>
      <c r="I328" s="134"/>
      <c r="J328" s="134"/>
      <c r="K328" s="134"/>
      <c r="L328" s="134"/>
      <c r="M328" s="134"/>
      <c r="N328" s="74"/>
      <c r="O328" s="73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</row>
    <row r="329" spans="1:105" x14ac:dyDescent="0.25">
      <c r="A329" s="73"/>
      <c r="B329" s="73"/>
      <c r="C329" s="73"/>
      <c r="D329" s="73"/>
      <c r="E329" s="73"/>
      <c r="F329" s="115" t="s">
        <v>216</v>
      </c>
      <c r="G329" s="115" t="s">
        <v>198</v>
      </c>
      <c r="H329" s="26" t="s">
        <v>37</v>
      </c>
      <c r="I329" s="134"/>
      <c r="J329" s="134"/>
      <c r="K329" s="134"/>
      <c r="L329" s="134"/>
      <c r="M329" s="134"/>
      <c r="N329" s="74"/>
      <c r="O329" s="73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</row>
    <row r="330" spans="1:105" x14ac:dyDescent="0.25">
      <c r="A330" s="73"/>
      <c r="B330" s="73"/>
      <c r="C330" s="73"/>
      <c r="D330" s="73"/>
      <c r="E330" s="73"/>
      <c r="F330" s="115" t="s">
        <v>91</v>
      </c>
      <c r="G330" s="115" t="s">
        <v>198</v>
      </c>
      <c r="H330" s="26" t="s">
        <v>37</v>
      </c>
      <c r="I330" s="134"/>
      <c r="J330" s="134"/>
      <c r="K330" s="134"/>
      <c r="L330" s="134"/>
      <c r="M330" s="134"/>
      <c r="N330" s="74"/>
      <c r="O330" s="73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</row>
    <row r="331" spans="1:105" x14ac:dyDescent="0.25">
      <c r="A331" s="73"/>
      <c r="B331" s="73"/>
      <c r="C331" s="73"/>
      <c r="D331" s="73"/>
      <c r="E331" s="73"/>
      <c r="F331" s="115" t="s">
        <v>92</v>
      </c>
      <c r="G331" s="115" t="s">
        <v>198</v>
      </c>
      <c r="H331" s="26" t="s">
        <v>37</v>
      </c>
      <c r="I331" s="134"/>
      <c r="J331" s="134"/>
      <c r="K331" s="134"/>
      <c r="L331" s="134"/>
      <c r="M331" s="134"/>
      <c r="N331" s="74"/>
      <c r="O331" s="73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</row>
    <row r="332" spans="1:105" x14ac:dyDescent="0.25">
      <c r="A332" s="73"/>
      <c r="B332" s="73"/>
      <c r="C332" s="73"/>
      <c r="D332" s="73"/>
      <c r="E332" s="73"/>
      <c r="F332" s="115" t="s">
        <v>93</v>
      </c>
      <c r="G332" s="115" t="s">
        <v>198</v>
      </c>
      <c r="H332" s="26" t="s">
        <v>37</v>
      </c>
      <c r="I332" s="134"/>
      <c r="J332" s="134"/>
      <c r="K332" s="134"/>
      <c r="L332" s="134"/>
      <c r="M332" s="134"/>
      <c r="N332" s="74"/>
      <c r="O332" s="73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</row>
    <row r="333" spans="1:105" x14ac:dyDescent="0.25">
      <c r="A333" s="73"/>
      <c r="B333" s="73"/>
      <c r="C333" s="73"/>
      <c r="D333" s="73"/>
      <c r="E333" s="73"/>
      <c r="F333" s="115" t="s">
        <v>94</v>
      </c>
      <c r="G333" s="115" t="s">
        <v>198</v>
      </c>
      <c r="H333" s="26" t="s">
        <v>37</v>
      </c>
      <c r="I333" s="134"/>
      <c r="J333" s="134"/>
      <c r="K333" s="134"/>
      <c r="L333" s="134"/>
      <c r="M333" s="134"/>
      <c r="N333" s="74"/>
      <c r="O333" s="73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</row>
    <row r="334" spans="1:105" x14ac:dyDescent="0.25">
      <c r="A334" s="73"/>
      <c r="B334" s="73"/>
      <c r="C334" s="73"/>
      <c r="D334" s="73"/>
      <c r="E334" s="73"/>
      <c r="F334" s="115" t="s">
        <v>217</v>
      </c>
      <c r="G334" s="115" t="s">
        <v>198</v>
      </c>
      <c r="H334" s="26" t="s">
        <v>37</v>
      </c>
      <c r="I334" s="134"/>
      <c r="J334" s="134"/>
      <c r="K334" s="134"/>
      <c r="L334" s="134"/>
      <c r="M334" s="134"/>
      <c r="N334" s="74"/>
      <c r="O334" s="73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</row>
    <row r="335" spans="1:105" x14ac:dyDescent="0.25">
      <c r="A335" s="73"/>
      <c r="B335" s="73"/>
      <c r="C335" s="73"/>
      <c r="D335" s="73"/>
      <c r="E335" s="73"/>
      <c r="F335" s="115" t="s">
        <v>218</v>
      </c>
      <c r="G335" s="115" t="s">
        <v>198</v>
      </c>
      <c r="H335" s="26" t="s">
        <v>37</v>
      </c>
      <c r="I335" s="134"/>
      <c r="J335" s="134"/>
      <c r="K335" s="134"/>
      <c r="L335" s="134"/>
      <c r="M335" s="134"/>
      <c r="N335" s="74"/>
      <c r="O335" s="73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</row>
    <row r="336" spans="1:105" x14ac:dyDescent="0.25">
      <c r="A336" s="73"/>
      <c r="B336" s="73"/>
      <c r="C336" s="73"/>
      <c r="D336" s="73"/>
      <c r="E336" s="73"/>
      <c r="F336" s="115" t="s">
        <v>219</v>
      </c>
      <c r="G336" s="115" t="s">
        <v>198</v>
      </c>
      <c r="H336" s="26" t="s">
        <v>37</v>
      </c>
      <c r="I336" s="134"/>
      <c r="J336" s="134"/>
      <c r="K336" s="134"/>
      <c r="L336" s="134"/>
      <c r="M336" s="134"/>
      <c r="N336" s="74"/>
      <c r="O336" s="73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</row>
    <row r="337" spans="1:105" x14ac:dyDescent="0.25">
      <c r="A337" s="73"/>
      <c r="B337" s="73"/>
      <c r="C337" s="73"/>
      <c r="D337" s="73"/>
      <c r="E337" s="73"/>
      <c r="F337" s="115" t="s">
        <v>220</v>
      </c>
      <c r="G337" s="115" t="s">
        <v>198</v>
      </c>
      <c r="H337" s="26" t="s">
        <v>37</v>
      </c>
      <c r="I337" s="134"/>
      <c r="J337" s="134"/>
      <c r="K337" s="134"/>
      <c r="L337" s="134"/>
      <c r="M337" s="134"/>
      <c r="N337" s="74"/>
      <c r="O337" s="73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</row>
    <row r="338" spans="1:105" x14ac:dyDescent="0.25">
      <c r="A338" s="73"/>
      <c r="B338" s="73"/>
      <c r="C338" s="73"/>
      <c r="D338" s="73"/>
      <c r="E338" s="73"/>
      <c r="F338" s="115" t="s">
        <v>221</v>
      </c>
      <c r="G338" s="115" t="s">
        <v>198</v>
      </c>
      <c r="H338" s="26" t="s">
        <v>37</v>
      </c>
      <c r="I338" s="134"/>
      <c r="J338" s="134"/>
      <c r="K338" s="134"/>
      <c r="L338" s="134"/>
      <c r="M338" s="134"/>
      <c r="N338" s="74"/>
      <c r="O338" s="73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</row>
    <row r="339" spans="1:105" x14ac:dyDescent="0.25">
      <c r="A339" s="73"/>
      <c r="B339" s="73"/>
      <c r="C339" s="73"/>
      <c r="D339" s="73"/>
      <c r="E339" s="73"/>
      <c r="F339" s="115" t="s">
        <v>222</v>
      </c>
      <c r="G339" s="115" t="s">
        <v>198</v>
      </c>
      <c r="H339" s="26" t="s">
        <v>37</v>
      </c>
      <c r="I339" s="134"/>
      <c r="J339" s="134"/>
      <c r="K339" s="134"/>
      <c r="L339" s="134"/>
      <c r="M339" s="134"/>
      <c r="N339" s="74"/>
      <c r="O339" s="73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</row>
    <row r="340" spans="1:105" x14ac:dyDescent="0.25">
      <c r="A340" s="73"/>
      <c r="B340" s="73"/>
      <c r="C340" s="73"/>
      <c r="D340" s="73"/>
      <c r="E340" s="73"/>
      <c r="F340" s="115" t="s">
        <v>223</v>
      </c>
      <c r="G340" s="115" t="s">
        <v>198</v>
      </c>
      <c r="H340" s="26" t="s">
        <v>37</v>
      </c>
      <c r="I340" s="134"/>
      <c r="J340" s="134"/>
      <c r="K340" s="134"/>
      <c r="L340" s="134"/>
      <c r="M340" s="134"/>
      <c r="N340" s="74"/>
      <c r="O340" s="73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</row>
    <row r="341" spans="1:105" x14ac:dyDescent="0.25">
      <c r="A341" s="73"/>
      <c r="B341" s="73"/>
      <c r="C341" s="73"/>
      <c r="D341" s="73"/>
      <c r="E341" s="73"/>
      <c r="F341" s="115" t="s">
        <v>386</v>
      </c>
      <c r="G341" s="115" t="s">
        <v>198</v>
      </c>
      <c r="H341" s="26" t="s">
        <v>36</v>
      </c>
      <c r="I341" s="134"/>
      <c r="J341" s="134"/>
      <c r="K341" s="134"/>
      <c r="L341" s="134"/>
      <c r="M341" s="134"/>
      <c r="N341" s="74"/>
      <c r="O341" s="73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</row>
    <row r="342" spans="1:105" x14ac:dyDescent="0.25">
      <c r="A342" s="73"/>
      <c r="B342" s="73"/>
      <c r="C342" s="73"/>
      <c r="D342" s="73"/>
      <c r="E342" s="73"/>
      <c r="F342" s="115" t="s">
        <v>387</v>
      </c>
      <c r="G342" s="115" t="s">
        <v>198</v>
      </c>
      <c r="H342" s="26" t="s">
        <v>36</v>
      </c>
      <c r="I342" s="134"/>
      <c r="J342" s="134"/>
      <c r="K342" s="134"/>
      <c r="L342" s="134"/>
      <c r="M342" s="134"/>
      <c r="N342" s="74"/>
      <c r="O342" s="73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</row>
    <row r="343" spans="1:105" x14ac:dyDescent="0.25">
      <c r="A343" s="73"/>
      <c r="B343" s="73"/>
      <c r="C343" s="73"/>
      <c r="D343" s="73"/>
      <c r="E343" s="73"/>
      <c r="F343" s="115" t="s">
        <v>388</v>
      </c>
      <c r="G343" s="115" t="s">
        <v>198</v>
      </c>
      <c r="H343" s="26" t="s">
        <v>36</v>
      </c>
      <c r="I343" s="134"/>
      <c r="J343" s="134"/>
      <c r="K343" s="134"/>
      <c r="L343" s="134"/>
      <c r="M343" s="134"/>
      <c r="N343" s="74"/>
      <c r="O343" s="73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</row>
    <row r="344" spans="1:105" x14ac:dyDescent="0.25">
      <c r="A344" s="73"/>
      <c r="B344" s="73"/>
      <c r="C344" s="73"/>
      <c r="D344" s="73"/>
      <c r="E344" s="73"/>
      <c r="F344" s="115" t="s">
        <v>389</v>
      </c>
      <c r="G344" s="115" t="s">
        <v>198</v>
      </c>
      <c r="H344" s="26" t="s">
        <v>36</v>
      </c>
      <c r="I344" s="134"/>
      <c r="J344" s="134"/>
      <c r="K344" s="134"/>
      <c r="L344" s="134"/>
      <c r="M344" s="134"/>
      <c r="N344" s="74"/>
      <c r="O344" s="73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</row>
    <row r="345" spans="1:105" x14ac:dyDescent="0.25">
      <c r="A345" s="73"/>
      <c r="B345" s="73"/>
      <c r="C345" s="73"/>
      <c r="D345" s="73"/>
      <c r="E345" s="73"/>
      <c r="F345" s="115" t="s">
        <v>106</v>
      </c>
      <c r="G345" s="115" t="s">
        <v>198</v>
      </c>
      <c r="H345" s="26" t="s">
        <v>36</v>
      </c>
      <c r="I345" s="134"/>
      <c r="J345" s="134"/>
      <c r="K345" s="134"/>
      <c r="L345" s="134"/>
      <c r="M345" s="134"/>
      <c r="N345" s="74"/>
      <c r="O345" s="73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</row>
    <row r="346" spans="1:105" x14ac:dyDescent="0.25">
      <c r="A346" s="73"/>
      <c r="B346" s="73"/>
      <c r="C346" s="73"/>
      <c r="D346" s="73"/>
      <c r="E346" s="73"/>
      <c r="F346" s="115" t="s">
        <v>107</v>
      </c>
      <c r="G346" s="115" t="s">
        <v>198</v>
      </c>
      <c r="H346" s="26" t="s">
        <v>38</v>
      </c>
      <c r="I346" s="134"/>
      <c r="J346" s="134"/>
      <c r="K346" s="134"/>
      <c r="L346" s="134"/>
      <c r="M346" s="134"/>
      <c r="N346" s="74"/>
      <c r="O346" s="73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</row>
    <row r="347" spans="1:105" x14ac:dyDescent="0.25">
      <c r="A347" s="73"/>
      <c r="B347" s="73"/>
      <c r="C347" s="73"/>
      <c r="D347" s="73"/>
      <c r="E347" s="73"/>
      <c r="F347" s="115" t="s">
        <v>390</v>
      </c>
      <c r="G347" s="115" t="s">
        <v>198</v>
      </c>
      <c r="H347" s="26" t="s">
        <v>36</v>
      </c>
      <c r="I347" s="134"/>
      <c r="J347" s="134"/>
      <c r="K347" s="134"/>
      <c r="L347" s="134"/>
      <c r="M347" s="134"/>
      <c r="N347" s="74"/>
      <c r="O347" s="73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</row>
    <row r="348" spans="1:105" x14ac:dyDescent="0.25">
      <c r="A348" s="73"/>
      <c r="B348" s="73"/>
      <c r="C348" s="73"/>
      <c r="D348" s="73"/>
      <c r="E348" s="73"/>
      <c r="F348" s="115" t="s">
        <v>109</v>
      </c>
      <c r="G348" s="115" t="s">
        <v>198</v>
      </c>
      <c r="H348" s="26" t="s">
        <v>38</v>
      </c>
      <c r="I348" s="134"/>
      <c r="J348" s="134"/>
      <c r="K348" s="134"/>
      <c r="L348" s="134"/>
      <c r="M348" s="134"/>
      <c r="N348" s="74"/>
      <c r="O348" s="73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</row>
    <row r="349" spans="1:105" x14ac:dyDescent="0.25">
      <c r="A349" s="73"/>
      <c r="B349" s="73"/>
      <c r="C349" s="73"/>
      <c r="D349" s="73"/>
      <c r="E349" s="73"/>
      <c r="F349" s="115" t="s">
        <v>391</v>
      </c>
      <c r="G349" s="115" t="s">
        <v>198</v>
      </c>
      <c r="H349" s="26" t="s">
        <v>38</v>
      </c>
      <c r="I349" s="134"/>
      <c r="J349" s="134"/>
      <c r="K349" s="134"/>
      <c r="L349" s="134"/>
      <c r="M349" s="134"/>
      <c r="N349" s="74"/>
      <c r="O349" s="73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</row>
    <row r="350" spans="1:105" x14ac:dyDescent="0.25">
      <c r="A350" s="73"/>
      <c r="B350" s="73"/>
      <c r="C350" s="73"/>
      <c r="D350" s="73"/>
      <c r="E350" s="73"/>
      <c r="F350" s="115" t="s">
        <v>392</v>
      </c>
      <c r="G350" s="115" t="s">
        <v>198</v>
      </c>
      <c r="H350" s="26" t="s">
        <v>38</v>
      </c>
      <c r="I350" s="134"/>
      <c r="J350" s="134"/>
      <c r="K350" s="134"/>
      <c r="L350" s="134"/>
      <c r="M350" s="134"/>
      <c r="N350" s="74"/>
      <c r="O350" s="73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</row>
    <row r="351" spans="1:105" x14ac:dyDescent="0.25">
      <c r="A351" s="73"/>
      <c r="B351" s="73"/>
      <c r="C351" s="73"/>
      <c r="D351" s="73"/>
      <c r="E351" s="73"/>
      <c r="F351" s="115" t="s">
        <v>112</v>
      </c>
      <c r="G351" s="115" t="s">
        <v>198</v>
      </c>
      <c r="H351" s="26" t="s">
        <v>38</v>
      </c>
      <c r="I351" s="134"/>
      <c r="J351" s="134"/>
      <c r="K351" s="134"/>
      <c r="L351" s="134"/>
      <c r="M351" s="134"/>
      <c r="N351" s="74"/>
      <c r="O351" s="73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</row>
    <row r="352" spans="1:105" x14ac:dyDescent="0.25">
      <c r="A352" s="73"/>
      <c r="B352" s="73"/>
      <c r="C352" s="73"/>
      <c r="D352" s="73"/>
      <c r="E352" s="73"/>
      <c r="F352" s="115" t="s">
        <v>113</v>
      </c>
      <c r="G352" s="115" t="s">
        <v>198</v>
      </c>
      <c r="H352" s="26" t="s">
        <v>38</v>
      </c>
      <c r="I352" s="134"/>
      <c r="J352" s="134"/>
      <c r="K352" s="134"/>
      <c r="L352" s="134"/>
      <c r="M352" s="134"/>
      <c r="N352" s="74"/>
      <c r="O352" s="73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</row>
    <row r="353" spans="1:105" x14ac:dyDescent="0.25">
      <c r="A353" s="73"/>
      <c r="B353" s="73"/>
      <c r="C353" s="73"/>
      <c r="D353" s="73"/>
      <c r="E353" s="73"/>
      <c r="F353" s="115" t="s">
        <v>114</v>
      </c>
      <c r="G353" s="115" t="s">
        <v>198</v>
      </c>
      <c r="H353" s="26" t="s">
        <v>38</v>
      </c>
      <c r="I353" s="134"/>
      <c r="J353" s="134"/>
      <c r="K353" s="134"/>
      <c r="L353" s="134"/>
      <c r="M353" s="134"/>
      <c r="N353" s="74"/>
      <c r="O353" s="73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</row>
    <row r="354" spans="1:105" x14ac:dyDescent="0.25">
      <c r="A354" s="73"/>
      <c r="B354" s="73"/>
      <c r="C354" s="73"/>
      <c r="D354" s="73"/>
      <c r="E354" s="73"/>
      <c r="F354" s="115" t="s">
        <v>224</v>
      </c>
      <c r="G354" s="115" t="s">
        <v>198</v>
      </c>
      <c r="H354" s="26" t="s">
        <v>35</v>
      </c>
      <c r="I354" s="134"/>
      <c r="J354" s="134"/>
      <c r="K354" s="134"/>
      <c r="L354" s="134"/>
      <c r="M354" s="134"/>
      <c r="N354" s="74"/>
      <c r="O354" s="73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</row>
    <row r="355" spans="1:105" x14ac:dyDescent="0.25">
      <c r="A355" s="73"/>
      <c r="B355" s="73"/>
      <c r="C355" s="73"/>
      <c r="D355" s="73"/>
      <c r="E355" s="73"/>
      <c r="F355" s="115" t="s">
        <v>225</v>
      </c>
      <c r="G355" s="115" t="s">
        <v>198</v>
      </c>
      <c r="H355" s="26" t="s">
        <v>35</v>
      </c>
      <c r="I355" s="134"/>
      <c r="J355" s="134"/>
      <c r="K355" s="134"/>
      <c r="L355" s="134"/>
      <c r="M355" s="134"/>
      <c r="N355" s="74"/>
      <c r="O355" s="73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</row>
    <row r="356" spans="1:105" x14ac:dyDescent="0.25">
      <c r="A356" s="73"/>
      <c r="B356" s="73"/>
      <c r="C356" s="73"/>
      <c r="D356" s="73"/>
      <c r="E356" s="73"/>
      <c r="F356" s="115" t="s">
        <v>117</v>
      </c>
      <c r="G356" s="115" t="s">
        <v>198</v>
      </c>
      <c r="H356" s="26" t="s">
        <v>35</v>
      </c>
      <c r="I356" s="134"/>
      <c r="J356" s="134"/>
      <c r="K356" s="134"/>
      <c r="L356" s="134"/>
      <c r="M356" s="134"/>
      <c r="N356" s="74"/>
      <c r="O356" s="73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</row>
    <row r="357" spans="1:105" x14ac:dyDescent="0.25">
      <c r="A357" s="73"/>
      <c r="B357" s="73"/>
      <c r="C357" s="73"/>
      <c r="D357" s="73"/>
      <c r="E357" s="73"/>
      <c r="F357" s="115" t="s">
        <v>118</v>
      </c>
      <c r="G357" s="115" t="s">
        <v>198</v>
      </c>
      <c r="H357" s="26" t="s">
        <v>35</v>
      </c>
      <c r="I357" s="134"/>
      <c r="J357" s="134"/>
      <c r="K357" s="134"/>
      <c r="L357" s="134"/>
      <c r="M357" s="134"/>
      <c r="N357" s="74"/>
      <c r="O357" s="73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</row>
    <row r="358" spans="1:105" x14ac:dyDescent="0.25">
      <c r="A358" s="73"/>
      <c r="B358" s="73"/>
      <c r="C358" s="73"/>
      <c r="D358" s="73"/>
      <c r="E358" s="73"/>
      <c r="F358" s="115" t="s">
        <v>119</v>
      </c>
      <c r="G358" s="115" t="s">
        <v>198</v>
      </c>
      <c r="H358" s="26" t="s">
        <v>35</v>
      </c>
      <c r="I358" s="134"/>
      <c r="J358" s="134"/>
      <c r="K358" s="134"/>
      <c r="L358" s="134"/>
      <c r="M358" s="134"/>
      <c r="N358" s="74"/>
      <c r="O358" s="73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</row>
    <row r="359" spans="1:105" x14ac:dyDescent="0.25">
      <c r="A359" s="73"/>
      <c r="B359" s="73"/>
      <c r="C359" s="73"/>
      <c r="D359" s="73"/>
      <c r="E359" s="73"/>
      <c r="F359" s="115" t="s">
        <v>226</v>
      </c>
      <c r="G359" s="115" t="s">
        <v>198</v>
      </c>
      <c r="H359" s="26" t="s">
        <v>35</v>
      </c>
      <c r="I359" s="134"/>
      <c r="J359" s="134"/>
      <c r="K359" s="134"/>
      <c r="L359" s="134"/>
      <c r="M359" s="134"/>
      <c r="N359" s="74"/>
      <c r="O359" s="73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</row>
    <row r="360" spans="1:105" x14ac:dyDescent="0.25">
      <c r="A360" s="73"/>
      <c r="B360" s="73"/>
      <c r="C360" s="73"/>
      <c r="D360" s="73"/>
      <c r="E360" s="73"/>
      <c r="F360" s="115" t="s">
        <v>227</v>
      </c>
      <c r="G360" s="115" t="s">
        <v>198</v>
      </c>
      <c r="H360" s="26" t="s">
        <v>35</v>
      </c>
      <c r="I360" s="134"/>
      <c r="J360" s="134"/>
      <c r="K360" s="134"/>
      <c r="L360" s="134"/>
      <c r="M360" s="134"/>
      <c r="N360" s="74"/>
      <c r="O360" s="73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</row>
    <row r="361" spans="1:105" x14ac:dyDescent="0.25">
      <c r="A361" s="73"/>
      <c r="B361" s="73"/>
      <c r="C361" s="73"/>
      <c r="D361" s="73"/>
      <c r="E361" s="73"/>
      <c r="F361" s="115" t="s">
        <v>228</v>
      </c>
      <c r="G361" s="115" t="s">
        <v>198</v>
      </c>
      <c r="H361" s="26" t="s">
        <v>35</v>
      </c>
      <c r="I361" s="134"/>
      <c r="J361" s="134"/>
      <c r="K361" s="134"/>
      <c r="L361" s="134"/>
      <c r="M361" s="134"/>
      <c r="N361" s="74"/>
      <c r="O361" s="73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</row>
    <row r="362" spans="1:105" x14ac:dyDescent="0.25">
      <c r="A362" s="73"/>
      <c r="B362" s="73"/>
      <c r="C362" s="73"/>
      <c r="D362" s="73"/>
      <c r="E362" s="73"/>
      <c r="F362" s="115" t="s">
        <v>367</v>
      </c>
      <c r="G362" s="115" t="s">
        <v>198</v>
      </c>
      <c r="H362" s="26" t="s">
        <v>35</v>
      </c>
      <c r="I362" s="134"/>
      <c r="J362" s="134"/>
      <c r="K362" s="134"/>
      <c r="L362" s="134"/>
      <c r="M362" s="134"/>
      <c r="N362" s="74"/>
      <c r="O362" s="73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</row>
    <row r="363" spans="1:105" x14ac:dyDescent="0.25">
      <c r="A363" s="73"/>
      <c r="B363" s="73"/>
      <c r="C363" s="73"/>
      <c r="D363" s="73"/>
      <c r="E363" s="73"/>
      <c r="F363" s="115" t="s">
        <v>393</v>
      </c>
      <c r="G363" s="115" t="s">
        <v>198</v>
      </c>
      <c r="H363" s="26" t="s">
        <v>35</v>
      </c>
      <c r="I363" s="134"/>
      <c r="J363" s="134"/>
      <c r="K363" s="134"/>
      <c r="L363" s="134"/>
      <c r="M363" s="134"/>
      <c r="N363" s="74"/>
      <c r="O363" s="73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</row>
    <row r="364" spans="1:105" x14ac:dyDescent="0.25">
      <c r="A364" s="73"/>
      <c r="B364" s="73"/>
      <c r="C364" s="73"/>
      <c r="D364" s="73"/>
      <c r="E364" s="73"/>
      <c r="F364" s="115" t="s">
        <v>125</v>
      </c>
      <c r="G364" s="115" t="s">
        <v>198</v>
      </c>
      <c r="H364" s="26" t="s">
        <v>35</v>
      </c>
      <c r="I364" s="134"/>
      <c r="J364" s="134"/>
      <c r="K364" s="134"/>
      <c r="L364" s="134"/>
      <c r="M364" s="134"/>
      <c r="N364" s="74"/>
      <c r="O364" s="73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</row>
    <row r="365" spans="1:105" x14ac:dyDescent="0.25">
      <c r="A365" s="73"/>
      <c r="B365" s="73"/>
      <c r="C365" s="73"/>
      <c r="D365" s="73"/>
      <c r="E365" s="73"/>
      <c r="F365" s="115" t="s">
        <v>126</v>
      </c>
      <c r="G365" s="115" t="s">
        <v>198</v>
      </c>
      <c r="H365" s="26" t="s">
        <v>36</v>
      </c>
      <c r="I365" s="134"/>
      <c r="J365" s="134"/>
      <c r="K365" s="134"/>
      <c r="L365" s="134"/>
      <c r="M365" s="134"/>
      <c r="N365" s="74"/>
      <c r="O365" s="73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</row>
    <row r="366" spans="1:105" x14ac:dyDescent="0.25">
      <c r="A366" s="73"/>
      <c r="B366" s="73"/>
      <c r="C366" s="73"/>
      <c r="D366" s="73"/>
      <c r="E366" s="73"/>
      <c r="F366" s="115" t="s">
        <v>127</v>
      </c>
      <c r="G366" s="115" t="s">
        <v>198</v>
      </c>
      <c r="H366" s="26" t="s">
        <v>36</v>
      </c>
      <c r="I366" s="134"/>
      <c r="J366" s="134"/>
      <c r="K366" s="134"/>
      <c r="L366" s="134"/>
      <c r="M366" s="134"/>
      <c r="N366" s="74"/>
      <c r="O366" s="73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</row>
    <row r="367" spans="1:105" x14ac:dyDescent="0.25">
      <c r="A367" s="73"/>
      <c r="B367" s="73"/>
      <c r="C367" s="73"/>
      <c r="D367" s="73"/>
      <c r="E367" s="73"/>
      <c r="F367" s="115" t="s">
        <v>394</v>
      </c>
      <c r="G367" s="115" t="s">
        <v>198</v>
      </c>
      <c r="H367" s="26" t="s">
        <v>38</v>
      </c>
      <c r="I367" s="134"/>
      <c r="J367" s="134"/>
      <c r="K367" s="134"/>
      <c r="L367" s="134"/>
      <c r="M367" s="134"/>
      <c r="N367" s="74"/>
      <c r="O367" s="73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</row>
    <row r="368" spans="1:105" x14ac:dyDescent="0.25">
      <c r="A368" s="73"/>
      <c r="B368" s="73"/>
      <c r="C368" s="73"/>
      <c r="D368" s="73"/>
      <c r="E368" s="73"/>
      <c r="F368" s="115" t="s">
        <v>395</v>
      </c>
      <c r="G368" s="115" t="s">
        <v>198</v>
      </c>
      <c r="H368" s="26" t="s">
        <v>38</v>
      </c>
      <c r="I368" s="134"/>
      <c r="J368" s="134"/>
      <c r="K368" s="134"/>
      <c r="L368" s="134"/>
      <c r="M368" s="134"/>
      <c r="N368" s="74"/>
      <c r="O368" s="73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</row>
    <row r="369" spans="1:105" x14ac:dyDescent="0.25">
      <c r="A369" s="73"/>
      <c r="B369" s="73"/>
      <c r="C369" s="73"/>
      <c r="D369" s="73"/>
      <c r="E369" s="73"/>
      <c r="F369" s="115" t="s">
        <v>229</v>
      </c>
      <c r="G369" s="115" t="s">
        <v>198</v>
      </c>
      <c r="H369" s="26" t="s">
        <v>513</v>
      </c>
      <c r="I369" s="134"/>
      <c r="J369" s="134"/>
      <c r="K369" s="134"/>
      <c r="L369" s="134"/>
      <c r="M369" s="134"/>
      <c r="N369" s="74"/>
      <c r="O369" s="73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</row>
    <row r="370" spans="1:105" x14ac:dyDescent="0.25">
      <c r="A370" s="73"/>
      <c r="B370" s="73"/>
      <c r="C370" s="73"/>
      <c r="D370" s="73"/>
      <c r="E370" s="73"/>
      <c r="F370" s="117" t="s">
        <v>230</v>
      </c>
      <c r="G370" s="117" t="s">
        <v>198</v>
      </c>
      <c r="H370" s="27" t="s">
        <v>513</v>
      </c>
      <c r="I370" s="134"/>
      <c r="J370" s="134"/>
      <c r="K370" s="134"/>
      <c r="L370" s="134"/>
      <c r="M370" s="134"/>
      <c r="N370" s="74"/>
      <c r="O370" s="73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</row>
    <row r="371" spans="1:105" x14ac:dyDescent="0.25">
      <c r="A371" s="73"/>
      <c r="B371" s="73"/>
      <c r="C371" s="73"/>
      <c r="D371" s="73"/>
      <c r="E371" s="73"/>
      <c r="F371" s="73"/>
      <c r="G371" s="73"/>
      <c r="H371" s="74"/>
      <c r="I371" s="74"/>
      <c r="J371" s="74"/>
      <c r="K371" s="74"/>
      <c r="L371" s="74"/>
      <c r="M371" s="74"/>
      <c r="N371" s="74"/>
      <c r="O371" s="73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</row>
    <row r="372" spans="1:105" x14ac:dyDescent="0.25">
      <c r="A372" s="101"/>
      <c r="B372" s="101"/>
      <c r="C372" s="110" t="s">
        <v>697</v>
      </c>
      <c r="D372" s="110"/>
      <c r="E372" s="110"/>
      <c r="F372" s="110"/>
      <c r="G372" s="110"/>
      <c r="H372" s="111"/>
      <c r="I372" s="111"/>
      <c r="J372" s="111"/>
      <c r="K372" s="111"/>
      <c r="L372" s="111"/>
      <c r="M372" s="111"/>
      <c r="N372" s="111"/>
      <c r="O372" s="110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</row>
    <row r="373" spans="1:105" x14ac:dyDescent="0.25">
      <c r="A373" s="73"/>
      <c r="B373" s="73"/>
      <c r="C373" s="109"/>
      <c r="D373" s="109"/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</row>
    <row r="374" spans="1:105" x14ac:dyDescent="0.25">
      <c r="A374" s="73"/>
      <c r="B374" s="73"/>
      <c r="C374" s="109"/>
      <c r="D374" s="109" t="s">
        <v>698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</row>
    <row r="375" spans="1:105" x14ac:dyDescent="0.25">
      <c r="A375" s="73"/>
      <c r="B375" s="73"/>
      <c r="C375" s="109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</row>
    <row r="376" spans="1:105" x14ac:dyDescent="0.25">
      <c r="A376" s="115"/>
      <c r="B376" s="73"/>
      <c r="C376" s="73"/>
      <c r="D376" s="109"/>
      <c r="E376" s="112" t="s">
        <v>699</v>
      </c>
      <c r="F376" s="73"/>
      <c r="G376" s="73"/>
      <c r="H376" s="74"/>
      <c r="I376" s="132" t="s">
        <v>314</v>
      </c>
      <c r="J376" s="132"/>
      <c r="K376" s="132"/>
      <c r="L376" s="132"/>
      <c r="M376" s="132"/>
      <c r="N376" s="132"/>
      <c r="O376" s="115" t="s">
        <v>568</v>
      </c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</row>
    <row r="377" spans="1:105" x14ac:dyDescent="0.25">
      <c r="A377" s="73"/>
      <c r="B377" s="73"/>
      <c r="C377" s="73"/>
      <c r="D377" s="73"/>
      <c r="E377" s="73"/>
      <c r="F377" s="113" t="s">
        <v>166</v>
      </c>
      <c r="G377" s="113" t="s">
        <v>179</v>
      </c>
      <c r="H377" s="33">
        <v>0.25</v>
      </c>
      <c r="I377" s="134"/>
      <c r="J377" s="134"/>
      <c r="K377" s="134"/>
      <c r="L377" s="134"/>
      <c r="M377" s="134"/>
      <c r="N377" s="74"/>
      <c r="O377" s="73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</row>
    <row r="378" spans="1:105" x14ac:dyDescent="0.25">
      <c r="A378" s="73"/>
      <c r="B378" s="73"/>
      <c r="C378" s="73"/>
      <c r="D378" s="73"/>
      <c r="E378" s="73"/>
      <c r="F378" s="115" t="s">
        <v>40</v>
      </c>
      <c r="G378" s="115" t="s">
        <v>179</v>
      </c>
      <c r="H378" s="26">
        <v>0.5</v>
      </c>
      <c r="I378" s="134"/>
      <c r="J378" s="134"/>
      <c r="K378" s="134"/>
      <c r="L378" s="134"/>
      <c r="M378" s="134"/>
      <c r="N378" s="74"/>
      <c r="O378" s="73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</row>
    <row r="379" spans="1:105" x14ac:dyDescent="0.25">
      <c r="A379" s="73"/>
      <c r="B379" s="73"/>
      <c r="C379" s="73"/>
      <c r="D379" s="73"/>
      <c r="E379" s="73"/>
      <c r="F379" s="117" t="s">
        <v>165</v>
      </c>
      <c r="G379" s="117" t="s">
        <v>179</v>
      </c>
      <c r="H379" s="27">
        <v>1</v>
      </c>
      <c r="I379" s="134"/>
      <c r="J379" s="134"/>
      <c r="K379" s="134"/>
      <c r="L379" s="134"/>
      <c r="M379" s="134"/>
      <c r="N379" s="74"/>
      <c r="O379" s="73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</row>
    <row r="380" spans="1:105" x14ac:dyDescent="0.25">
      <c r="A380" s="73"/>
      <c r="B380" s="73"/>
      <c r="C380" s="73"/>
      <c r="D380" s="73"/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</row>
    <row r="381" spans="1:105" x14ac:dyDescent="0.25">
      <c r="A381" s="101"/>
      <c r="B381" s="101"/>
      <c r="C381" s="110" t="s">
        <v>700</v>
      </c>
      <c r="D381" s="110"/>
      <c r="E381" s="110"/>
      <c r="F381" s="110"/>
      <c r="G381" s="110"/>
      <c r="H381" s="111"/>
      <c r="I381" s="111"/>
      <c r="J381" s="111"/>
      <c r="K381" s="111"/>
      <c r="L381" s="111"/>
      <c r="M381" s="111"/>
      <c r="N381" s="111"/>
      <c r="O381" s="110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</row>
    <row r="382" spans="1:105" x14ac:dyDescent="0.25">
      <c r="A382" s="73"/>
      <c r="B382" s="73"/>
      <c r="C382" s="109"/>
      <c r="D382" s="109"/>
      <c r="E382" s="73"/>
      <c r="F382" s="73"/>
      <c r="G382" s="73"/>
      <c r="H382" s="74"/>
      <c r="I382" s="74"/>
      <c r="J382" s="74"/>
      <c r="K382" s="74"/>
      <c r="L382" s="74"/>
      <c r="M382" s="74"/>
      <c r="N382" s="74"/>
      <c r="O382" s="73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</row>
    <row r="383" spans="1:105" x14ac:dyDescent="0.25">
      <c r="A383" s="73"/>
      <c r="B383" s="73"/>
      <c r="C383" s="109"/>
      <c r="D383" s="109" t="s">
        <v>563</v>
      </c>
      <c r="E383" s="73"/>
      <c r="F383" s="73"/>
      <c r="G383" s="73"/>
      <c r="H383" s="74"/>
      <c r="I383" s="74"/>
      <c r="J383" s="74"/>
      <c r="K383" s="74"/>
      <c r="L383" s="74"/>
      <c r="M383" s="74"/>
      <c r="N383" s="74"/>
      <c r="O383" s="73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</row>
    <row r="384" spans="1:105" x14ac:dyDescent="0.25">
      <c r="A384" s="73"/>
      <c r="B384" s="73"/>
      <c r="C384" s="109"/>
      <c r="D384" s="109"/>
      <c r="E384" s="73"/>
      <c r="F384" s="73"/>
      <c r="G384" s="73"/>
      <c r="H384" s="74"/>
      <c r="I384" s="74"/>
      <c r="J384" s="74"/>
      <c r="K384" s="74"/>
      <c r="L384" s="74"/>
      <c r="M384" s="74"/>
      <c r="N384" s="74"/>
      <c r="O384" s="73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</row>
    <row r="385" spans="1:105" x14ac:dyDescent="0.25">
      <c r="A385" s="115"/>
      <c r="B385" s="73"/>
      <c r="C385" s="73"/>
      <c r="D385" s="109"/>
      <c r="E385" s="112" t="s">
        <v>701</v>
      </c>
      <c r="F385" s="73"/>
      <c r="G385" s="73"/>
      <c r="H385" s="74"/>
      <c r="I385" s="132" t="s">
        <v>314</v>
      </c>
      <c r="J385" s="132"/>
      <c r="K385" s="132"/>
      <c r="L385" s="132"/>
      <c r="M385" s="132"/>
      <c r="N385" s="132"/>
      <c r="O385" s="115" t="s">
        <v>568</v>
      </c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</row>
    <row r="386" spans="1:105" x14ac:dyDescent="0.25">
      <c r="A386" s="73"/>
      <c r="B386" s="73"/>
      <c r="C386" s="73"/>
      <c r="D386" s="73"/>
      <c r="E386" s="73"/>
      <c r="F386" s="113" t="s">
        <v>166</v>
      </c>
      <c r="G386" s="113" t="s">
        <v>179</v>
      </c>
      <c r="H386" s="33">
        <v>0.25</v>
      </c>
      <c r="I386" s="134"/>
      <c r="J386" s="134"/>
      <c r="K386" s="134"/>
      <c r="L386" s="134"/>
      <c r="M386" s="134"/>
      <c r="N386" s="74"/>
      <c r="O386" s="73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</row>
    <row r="387" spans="1:105" x14ac:dyDescent="0.25">
      <c r="A387" s="73"/>
      <c r="B387" s="73"/>
      <c r="C387" s="73"/>
      <c r="D387" s="73"/>
      <c r="E387" s="73"/>
      <c r="F387" s="115" t="s">
        <v>40</v>
      </c>
      <c r="G387" s="115" t="s">
        <v>179</v>
      </c>
      <c r="H387" s="26">
        <v>0.5</v>
      </c>
      <c r="I387" s="134"/>
      <c r="J387" s="134"/>
      <c r="K387" s="134"/>
      <c r="L387" s="134"/>
      <c r="M387" s="134"/>
      <c r="N387" s="74"/>
      <c r="O387" s="73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</row>
    <row r="388" spans="1:105" x14ac:dyDescent="0.25">
      <c r="A388" s="73"/>
      <c r="B388" s="73"/>
      <c r="C388" s="73"/>
      <c r="D388" s="73"/>
      <c r="E388" s="73"/>
      <c r="F388" s="117" t="s">
        <v>165</v>
      </c>
      <c r="G388" s="117" t="s">
        <v>179</v>
      </c>
      <c r="H388" s="137"/>
      <c r="I388" s="134"/>
      <c r="J388" s="134"/>
      <c r="K388" s="134"/>
      <c r="L388" s="134"/>
      <c r="M388" s="134"/>
      <c r="N388" s="74"/>
      <c r="O388" s="73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</row>
    <row r="389" spans="1:105" x14ac:dyDescent="0.25">
      <c r="A389" s="73"/>
      <c r="B389" s="73"/>
      <c r="C389" s="73"/>
      <c r="D389" s="73"/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</row>
    <row r="390" spans="1:105" x14ac:dyDescent="0.25">
      <c r="A390" s="73"/>
      <c r="B390" s="101"/>
      <c r="C390" s="110" t="s">
        <v>618</v>
      </c>
      <c r="D390" s="110"/>
      <c r="E390" s="110"/>
      <c r="F390" s="110"/>
      <c r="G390" s="110"/>
      <c r="H390" s="111"/>
      <c r="I390" s="111"/>
      <c r="J390" s="111"/>
      <c r="K390" s="111"/>
      <c r="L390" s="111"/>
      <c r="M390" s="111"/>
      <c r="N390" s="111"/>
      <c r="O390" s="110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</row>
    <row r="391" spans="1:105" x14ac:dyDescent="0.25">
      <c r="A391" s="73"/>
      <c r="B391" s="73"/>
      <c r="C391" s="109"/>
      <c r="D391" s="109"/>
      <c r="E391" s="73"/>
      <c r="F391" s="73"/>
      <c r="G391" s="73"/>
      <c r="H391" s="74"/>
      <c r="I391" s="74"/>
      <c r="J391" s="74"/>
      <c r="K391" s="74"/>
      <c r="L391" s="74"/>
      <c r="M391" s="74"/>
      <c r="N391" s="74"/>
      <c r="O391" s="73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</row>
    <row r="392" spans="1:105" x14ac:dyDescent="0.25">
      <c r="A392" s="73"/>
      <c r="B392" s="73"/>
      <c r="C392" s="73"/>
      <c r="D392" s="109" t="s">
        <v>680</v>
      </c>
      <c r="E392" s="73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</row>
    <row r="393" spans="1:105" s="17" customFormat="1" x14ac:dyDescent="0.25">
      <c r="A393" s="73"/>
      <c r="B393" s="73"/>
      <c r="C393" s="73"/>
      <c r="D393" s="109" t="s">
        <v>681</v>
      </c>
      <c r="E393" s="73"/>
      <c r="F393" s="73"/>
      <c r="G393" s="73"/>
      <c r="H393" s="74"/>
      <c r="I393" s="74"/>
      <c r="J393" s="74"/>
      <c r="K393" s="74"/>
      <c r="L393" s="74"/>
      <c r="M393" s="74"/>
      <c r="N393" s="74"/>
      <c r="O393" s="73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</row>
    <row r="394" spans="1:105" x14ac:dyDescent="0.25">
      <c r="A394" s="73"/>
      <c r="B394" s="73"/>
      <c r="C394" s="73"/>
      <c r="D394" s="109"/>
      <c r="E394" s="73"/>
      <c r="F394" s="73"/>
      <c r="G394" s="73"/>
      <c r="H394" s="74"/>
      <c r="I394" s="74"/>
      <c r="J394" s="74"/>
      <c r="K394" s="74"/>
      <c r="L394" s="74"/>
      <c r="M394" s="74"/>
      <c r="N394" s="74"/>
      <c r="O394" s="73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</row>
    <row r="395" spans="1:105" ht="45" x14ac:dyDescent="0.25">
      <c r="A395" s="115"/>
      <c r="B395" s="73"/>
      <c r="C395" s="73"/>
      <c r="D395" s="109"/>
      <c r="E395" s="112" t="s">
        <v>520</v>
      </c>
      <c r="F395" s="73"/>
      <c r="G395" s="73"/>
      <c r="H395" s="74"/>
      <c r="I395" s="132" t="s">
        <v>314</v>
      </c>
      <c r="J395" s="104" t="s">
        <v>279</v>
      </c>
      <c r="K395" s="104" t="s">
        <v>293</v>
      </c>
      <c r="L395" s="104" t="s">
        <v>294</v>
      </c>
      <c r="M395" s="104" t="s">
        <v>280</v>
      </c>
      <c r="N395" s="74"/>
      <c r="O395" s="115" t="s">
        <v>567</v>
      </c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</row>
    <row r="396" spans="1:105" x14ac:dyDescent="0.25">
      <c r="A396" s="73"/>
      <c r="B396" s="73"/>
      <c r="C396" s="73"/>
      <c r="D396" s="73"/>
      <c r="E396" s="73"/>
      <c r="F396" s="113" t="s">
        <v>35</v>
      </c>
      <c r="G396" s="113" t="s">
        <v>191</v>
      </c>
      <c r="H396" s="138"/>
      <c r="I396" s="138"/>
      <c r="J396" s="30">
        <v>1</v>
      </c>
      <c r="K396" s="30">
        <v>1</v>
      </c>
      <c r="L396" s="30">
        <v>1</v>
      </c>
      <c r="M396" s="30">
        <v>1</v>
      </c>
      <c r="N396" s="74"/>
      <c r="O396" s="73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</row>
    <row r="397" spans="1:105" x14ac:dyDescent="0.25">
      <c r="A397" s="73"/>
      <c r="B397" s="73"/>
      <c r="C397" s="73"/>
      <c r="D397" s="73"/>
      <c r="E397" s="73"/>
      <c r="F397" s="115" t="s">
        <v>36</v>
      </c>
      <c r="G397" s="115" t="s">
        <v>191</v>
      </c>
      <c r="H397" s="136"/>
      <c r="I397" s="136"/>
      <c r="J397" s="32">
        <v>1</v>
      </c>
      <c r="K397" s="32">
        <v>1</v>
      </c>
      <c r="L397" s="32">
        <v>1</v>
      </c>
      <c r="M397" s="32">
        <v>1</v>
      </c>
      <c r="N397" s="74"/>
      <c r="O397" s="73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</row>
    <row r="398" spans="1:105" x14ac:dyDescent="0.25">
      <c r="A398" s="73"/>
      <c r="B398" s="73"/>
      <c r="C398" s="73"/>
      <c r="D398" s="73"/>
      <c r="E398" s="73"/>
      <c r="F398" s="115" t="s">
        <v>37</v>
      </c>
      <c r="G398" s="115" t="s">
        <v>191</v>
      </c>
      <c r="H398" s="136"/>
      <c r="I398" s="136"/>
      <c r="J398" s="32">
        <v>1</v>
      </c>
      <c r="K398" s="32">
        <v>1</v>
      </c>
      <c r="L398" s="32">
        <v>1</v>
      </c>
      <c r="M398" s="32">
        <v>1</v>
      </c>
      <c r="N398" s="74"/>
      <c r="O398" s="73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</row>
    <row r="399" spans="1:105" x14ac:dyDescent="0.25">
      <c r="A399" s="73"/>
      <c r="B399" s="73"/>
      <c r="C399" s="73"/>
      <c r="D399" s="73"/>
      <c r="E399" s="73"/>
      <c r="F399" s="115" t="s">
        <v>38</v>
      </c>
      <c r="G399" s="115" t="s">
        <v>191</v>
      </c>
      <c r="H399" s="136"/>
      <c r="I399" s="136"/>
      <c r="J399" s="32">
        <v>1</v>
      </c>
      <c r="K399" s="32">
        <v>1</v>
      </c>
      <c r="L399" s="32">
        <v>1</v>
      </c>
      <c r="M399" s="32">
        <v>1</v>
      </c>
      <c r="N399" s="74"/>
      <c r="O399" s="73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</row>
    <row r="400" spans="1:105" x14ac:dyDescent="0.25">
      <c r="A400" s="73"/>
      <c r="B400" s="73"/>
      <c r="C400" s="73"/>
      <c r="D400" s="73"/>
      <c r="E400" s="73"/>
      <c r="F400" s="115" t="s">
        <v>40</v>
      </c>
      <c r="G400" s="115" t="s">
        <v>191</v>
      </c>
      <c r="H400" s="136"/>
      <c r="I400" s="136"/>
      <c r="J400" s="32">
        <v>1</v>
      </c>
      <c r="K400" s="32">
        <v>1</v>
      </c>
      <c r="L400" s="32">
        <v>1</v>
      </c>
      <c r="M400" s="139"/>
      <c r="N400" s="74"/>
      <c r="O400" s="73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</row>
    <row r="401" spans="1:105" x14ac:dyDescent="0.25">
      <c r="A401" s="73"/>
      <c r="B401" s="73"/>
      <c r="C401" s="73"/>
      <c r="D401" s="73"/>
      <c r="E401" s="73"/>
      <c r="F401" s="115" t="s">
        <v>41</v>
      </c>
      <c r="G401" s="115" t="s">
        <v>191</v>
      </c>
      <c r="H401" s="136"/>
      <c r="I401" s="136"/>
      <c r="J401" s="32">
        <v>1</v>
      </c>
      <c r="K401" s="32">
        <v>1</v>
      </c>
      <c r="L401" s="139"/>
      <c r="M401" s="139"/>
      <c r="N401" s="74"/>
      <c r="O401" s="73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</row>
    <row r="402" spans="1:105" x14ac:dyDescent="0.25">
      <c r="A402" s="73"/>
      <c r="B402" s="73"/>
      <c r="C402" s="73"/>
      <c r="D402" s="73"/>
      <c r="E402" s="73"/>
      <c r="F402" s="117" t="s">
        <v>165</v>
      </c>
      <c r="G402" s="117" t="s">
        <v>191</v>
      </c>
      <c r="H402" s="140"/>
      <c r="I402" s="141"/>
      <c r="J402" s="34">
        <v>1</v>
      </c>
      <c r="K402" s="142"/>
      <c r="L402" s="142"/>
      <c r="M402" s="142"/>
      <c r="N402" s="74"/>
      <c r="O402" s="73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</row>
    <row r="403" spans="1:105" x14ac:dyDescent="0.25">
      <c r="A403" s="73"/>
      <c r="B403" s="73"/>
      <c r="C403" s="73"/>
      <c r="D403" s="73"/>
      <c r="E403" s="73"/>
      <c r="F403" s="73"/>
      <c r="G403" s="73"/>
      <c r="H403" s="74"/>
      <c r="I403" s="74"/>
      <c r="J403" s="74"/>
      <c r="K403" s="74"/>
      <c r="L403" s="74"/>
      <c r="M403" s="74"/>
      <c r="N403" s="74"/>
      <c r="O403" s="73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</row>
    <row r="404" spans="1:105" x14ac:dyDescent="0.25">
      <c r="A404" s="101"/>
      <c r="B404" s="107" t="s">
        <v>30</v>
      </c>
      <c r="C404" s="107"/>
      <c r="D404" s="107"/>
      <c r="E404" s="107"/>
      <c r="F404" s="107"/>
      <c r="G404" s="107"/>
      <c r="H404" s="108"/>
      <c r="I404" s="108"/>
      <c r="J404" s="108"/>
      <c r="K404" s="108"/>
      <c r="L404" s="108"/>
      <c r="M404" s="108"/>
      <c r="N404" s="108"/>
      <c r="O404" s="107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</row>
  </sheetData>
  <sheetProtection sheet="1" objects="1" formatCells="0" formatColumns="0" formatRows="0" sort="0" autoFilter="0"/>
  <dataConsolidate/>
  <conditionalFormatting sqref="Q4:XFD4">
    <cfRule type="expression" dxfId="41" priority="1">
      <formula>LEFT($A$4,1) &lt;&gt; "0"</formula>
    </cfRule>
  </conditionalFormatting>
  <dataValidations count="5">
    <dataValidation type="list" allowBlank="1" showInputMessage="1" showErrorMessage="1" errorTitle="Expenditure category allocation" error="Input is not consistent with data validation" promptTitle="Expenditure category allocation" prompt="Inputs are limited to the options set out above" sqref="H49 H55:H87 H51">
      <formula1>$H$44:$H$47</formula1>
    </dataValidation>
    <dataValidation type="list" allowBlank="1" showInputMessage="1" showErrorMessage="1" errorTitle="Network level allocated" error="Input is not consistent with data validation" promptTitle="Network level allocated" prompt="Inputs are limited to the options set out above" sqref="H187:H271">
      <formula1>$H$180:$H$184</formula1>
    </dataValidation>
    <dataValidation type="decimal" operator="greaterThan" allowBlank="1" showInputMessage="1" showErrorMessage="1" sqref="H17">
      <formula1>0</formula1>
    </dataValidation>
    <dataValidation type="list" showInputMessage="1" showErrorMessage="1" errorTitle="Direct cost indicator" error="Input is not consistent with data validation" promptTitle="Direct cost indicator" prompt="Inputs are limited to the options set out above" sqref="H140:H173">
      <formula1>$H$136:$H$137</formula1>
    </dataValidation>
    <dataValidation type="list" allowBlank="1" showInputMessage="1" showErrorMessage="1" errorTitle="EDCM network level allocation" error="Inputs restricted to options set out above" promptTitle="EDCM network level allocation" prompt="Inputs restricted to options set out above" sqref="H286:H370">
      <formula1>$H$279:$H$283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P393"/>
  <sheetViews>
    <sheetView showGridLines="0" zoomScale="80" zoomScaleNormal="80" workbookViewId="0">
      <pane xSplit="9" ySplit="5" topLeftCell="J237" activePane="bottomRight" state="frozenSplit"/>
      <selection pane="topRight" activeCell="J1" sqref="J1"/>
      <selection pane="bottomLeft" activeCell="A261" sqref="A261"/>
      <selection pane="bottomRight" activeCell="H276" sqref="H27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DNO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42"/>
    </row>
    <row r="5" spans="1:16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435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101"/>
      <c r="B11" s="107" t="s">
        <v>674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434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101"/>
      <c r="B15" s="101"/>
      <c r="C15" s="110" t="s">
        <v>619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42"/>
    </row>
    <row r="16" spans="1:16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42"/>
    </row>
    <row r="17" spans="1:16" x14ac:dyDescent="0.25">
      <c r="A17" s="73"/>
      <c r="B17" s="73"/>
      <c r="C17" s="73"/>
      <c r="D17" s="109" t="s">
        <v>536</v>
      </c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109"/>
      <c r="E18" s="73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115"/>
      <c r="B19" s="73"/>
      <c r="C19" s="73"/>
      <c r="D19" s="73"/>
      <c r="E19" s="115" t="s">
        <v>43</v>
      </c>
      <c r="F19" s="73"/>
      <c r="G19" s="115" t="s">
        <v>44</v>
      </c>
      <c r="H19" s="35">
        <v>7.0359464365766539E-2</v>
      </c>
      <c r="I19" s="131" t="s">
        <v>314</v>
      </c>
      <c r="J19" s="135"/>
      <c r="K19" s="135"/>
      <c r="L19" s="135"/>
      <c r="M19" s="135"/>
      <c r="N19" s="74"/>
      <c r="O19" s="115" t="s">
        <v>598</v>
      </c>
      <c r="P19" s="42"/>
    </row>
    <row r="20" spans="1:16" x14ac:dyDescent="0.25">
      <c r="A20" s="73"/>
      <c r="B20" s="73"/>
      <c r="C20" s="73"/>
      <c r="D20" s="73"/>
      <c r="E20" s="109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42"/>
    </row>
    <row r="21" spans="1:16" x14ac:dyDescent="0.25">
      <c r="A21" s="101"/>
      <c r="B21" s="101"/>
      <c r="C21" s="110" t="s">
        <v>620</v>
      </c>
      <c r="D21" s="110"/>
      <c r="E21" s="110"/>
      <c r="F21" s="110"/>
      <c r="G21" s="110"/>
      <c r="H21" s="111"/>
      <c r="I21" s="111"/>
      <c r="J21" s="111"/>
      <c r="K21" s="111"/>
      <c r="L21" s="111"/>
      <c r="M21" s="111"/>
      <c r="N21" s="111"/>
      <c r="O21" s="110"/>
      <c r="P21" s="42"/>
    </row>
    <row r="22" spans="1:16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42"/>
    </row>
    <row r="23" spans="1:16" x14ac:dyDescent="0.25">
      <c r="A23" s="73"/>
      <c r="B23" s="73"/>
      <c r="C23" s="73"/>
      <c r="D23" s="109" t="s">
        <v>461</v>
      </c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3"/>
      <c r="P23" s="42"/>
    </row>
    <row r="24" spans="1:16" x14ac:dyDescent="0.25">
      <c r="A24" s="73"/>
      <c r="B24" s="73"/>
      <c r="C24" s="73"/>
      <c r="D24" s="109" t="s">
        <v>462</v>
      </c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42"/>
    </row>
    <row r="25" spans="1:16" x14ac:dyDescent="0.25">
      <c r="A25" s="73"/>
      <c r="B25" s="73"/>
      <c r="C25" s="73"/>
      <c r="D25" s="109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42"/>
    </row>
    <row r="26" spans="1:16" x14ac:dyDescent="0.25">
      <c r="A26" s="115"/>
      <c r="B26" s="73"/>
      <c r="C26" s="73"/>
      <c r="D26" s="73"/>
      <c r="E26" s="115" t="s">
        <v>45</v>
      </c>
      <c r="F26" s="73"/>
      <c r="G26" s="115" t="s">
        <v>44</v>
      </c>
      <c r="H26" s="35">
        <v>0.85156771303893453</v>
      </c>
      <c r="I26" s="131" t="s">
        <v>314</v>
      </c>
      <c r="J26" s="135"/>
      <c r="K26" s="135"/>
      <c r="L26" s="135"/>
      <c r="M26" s="135"/>
      <c r="N26" s="74"/>
      <c r="O26" s="115" t="s">
        <v>599</v>
      </c>
      <c r="P26" s="42"/>
    </row>
    <row r="27" spans="1:16" x14ac:dyDescent="0.25">
      <c r="A27" s="73"/>
      <c r="B27" s="73"/>
      <c r="C27" s="73"/>
      <c r="D27" s="73"/>
      <c r="E27" s="109"/>
      <c r="F27" s="73"/>
      <c r="G27" s="73"/>
      <c r="H27" s="74"/>
      <c r="I27" s="74"/>
      <c r="J27" s="74"/>
      <c r="K27" s="74"/>
      <c r="L27" s="74"/>
      <c r="M27" s="74"/>
      <c r="N27" s="74"/>
      <c r="O27" s="73"/>
      <c r="P27" s="42"/>
    </row>
    <row r="28" spans="1:16" x14ac:dyDescent="0.25">
      <c r="A28" s="101"/>
      <c r="B28" s="107" t="s">
        <v>432</v>
      </c>
      <c r="C28" s="107"/>
      <c r="D28" s="107"/>
      <c r="E28" s="107"/>
      <c r="F28" s="107"/>
      <c r="G28" s="107"/>
      <c r="H28" s="108"/>
      <c r="I28" s="108"/>
      <c r="J28" s="108"/>
      <c r="K28" s="108"/>
      <c r="L28" s="108"/>
      <c r="M28" s="108"/>
      <c r="N28" s="108"/>
      <c r="O28" s="107"/>
      <c r="P28" s="42"/>
    </row>
    <row r="29" spans="1:1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436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101"/>
      <c r="B32" s="101"/>
      <c r="C32" s="110" t="s">
        <v>621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418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s="17" customFormat="1" x14ac:dyDescent="0.25">
      <c r="A35" s="73"/>
      <c r="B35" s="73"/>
      <c r="C35" s="73"/>
      <c r="D35" s="109" t="s">
        <v>725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">
        <v>417</v>
      </c>
      <c r="F37" s="73"/>
      <c r="G37" s="73"/>
      <c r="H37" s="74"/>
      <c r="I37" s="132" t="s">
        <v>314</v>
      </c>
      <c r="J37" s="74"/>
      <c r="K37" s="74"/>
      <c r="L37" s="74"/>
      <c r="M37" s="74"/>
      <c r="N37" s="74"/>
      <c r="O37" s="115" t="s">
        <v>600</v>
      </c>
      <c r="P37" s="42"/>
    </row>
    <row r="38" spans="1:16" x14ac:dyDescent="0.25">
      <c r="A38" s="73"/>
      <c r="B38" s="73"/>
      <c r="C38" s="73"/>
      <c r="D38" s="73"/>
      <c r="E38" s="109"/>
      <c r="F38" s="113" t="s">
        <v>35</v>
      </c>
      <c r="G38" s="113" t="s">
        <v>439</v>
      </c>
      <c r="H38" s="36">
        <v>569877172.95318115</v>
      </c>
      <c r="I38" s="130"/>
      <c r="J38" s="130"/>
      <c r="K38" s="130"/>
      <c r="L38" s="130"/>
      <c r="M38" s="130"/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">
        <v>36</v>
      </c>
      <c r="G39" s="115" t="s">
        <v>439</v>
      </c>
      <c r="H39" s="37">
        <v>88757115.820670053</v>
      </c>
      <c r="I39" s="130"/>
      <c r="J39" s="130"/>
      <c r="K39" s="130"/>
      <c r="L39" s="130"/>
      <c r="M39" s="130"/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">
        <v>37</v>
      </c>
      <c r="G40" s="115" t="s">
        <v>439</v>
      </c>
      <c r="H40" s="37">
        <v>211834117.6085425</v>
      </c>
      <c r="I40" s="130"/>
      <c r="J40" s="130"/>
      <c r="K40" s="130"/>
      <c r="L40" s="130"/>
      <c r="M40" s="130"/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">
        <v>38</v>
      </c>
      <c r="G41" s="115" t="s">
        <v>439</v>
      </c>
      <c r="H41" s="37">
        <v>239523345.82895854</v>
      </c>
      <c r="I41" s="130"/>
      <c r="J41" s="130"/>
      <c r="K41" s="130"/>
      <c r="L41" s="130"/>
      <c r="M41" s="130"/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7" t="s">
        <v>39</v>
      </c>
      <c r="G42" s="117" t="s">
        <v>439</v>
      </c>
      <c r="H42" s="38">
        <v>0</v>
      </c>
      <c r="I42" s="130"/>
      <c r="J42" s="130"/>
      <c r="K42" s="130"/>
      <c r="L42" s="130"/>
      <c r="M42" s="130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42"/>
    </row>
    <row r="44" spans="1:16" x14ac:dyDescent="0.25">
      <c r="A44" s="101"/>
      <c r="B44" s="101"/>
      <c r="C44" s="110" t="s">
        <v>622</v>
      </c>
      <c r="D44" s="110"/>
      <c r="E44" s="110"/>
      <c r="F44" s="110"/>
      <c r="G44" s="110"/>
      <c r="H44" s="111"/>
      <c r="I44" s="111"/>
      <c r="J44" s="111"/>
      <c r="K44" s="111"/>
      <c r="L44" s="111"/>
      <c r="M44" s="111"/>
      <c r="N44" s="111"/>
      <c r="O44" s="110"/>
      <c r="P44" s="42"/>
    </row>
    <row r="45" spans="1:16" x14ac:dyDescent="0.25">
      <c r="A45" s="73"/>
      <c r="B45" s="73"/>
      <c r="C45" s="109"/>
      <c r="D45" s="109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73"/>
      <c r="B46" s="73"/>
      <c r="C46" s="73"/>
      <c r="D46" s="109" t="s">
        <v>419</v>
      </c>
      <c r="E46" s="73"/>
      <c r="F46" s="73"/>
      <c r="G46" s="73"/>
      <c r="H46" s="74"/>
      <c r="I46" s="74"/>
      <c r="J46" s="74"/>
      <c r="K46" s="74"/>
      <c r="L46" s="74"/>
      <c r="M46" s="74"/>
      <c r="N46" s="74"/>
      <c r="O46" s="73"/>
      <c r="P46" s="42"/>
    </row>
    <row r="47" spans="1:16" s="17" customFormat="1" x14ac:dyDescent="0.25">
      <c r="A47" s="73"/>
      <c r="B47" s="73"/>
      <c r="C47" s="73"/>
      <c r="D47" s="109" t="s">
        <v>708</v>
      </c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3"/>
      <c r="P47" s="42"/>
    </row>
    <row r="48" spans="1:16" x14ac:dyDescent="0.25">
      <c r="A48" s="73"/>
      <c r="B48" s="73"/>
      <c r="C48" s="73"/>
      <c r="D48" s="109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42"/>
    </row>
    <row r="49" spans="1:16" x14ac:dyDescent="0.25">
      <c r="A49" s="115"/>
      <c r="B49" s="73"/>
      <c r="C49" s="73"/>
      <c r="D49" s="73"/>
      <c r="E49" s="115" t="s">
        <v>42</v>
      </c>
      <c r="F49" s="73"/>
      <c r="G49" s="115" t="s">
        <v>439</v>
      </c>
      <c r="H49" s="37">
        <v>121824093.34197283</v>
      </c>
      <c r="I49" s="143" t="s">
        <v>314</v>
      </c>
      <c r="J49" s="130"/>
      <c r="K49" s="130"/>
      <c r="L49" s="130"/>
      <c r="M49" s="130"/>
      <c r="N49" s="74"/>
      <c r="O49" s="144" t="s">
        <v>569</v>
      </c>
      <c r="P49" s="42"/>
    </row>
    <row r="50" spans="1:16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42"/>
    </row>
    <row r="51" spans="1:16" x14ac:dyDescent="0.25">
      <c r="A51" s="101"/>
      <c r="B51" s="107" t="s">
        <v>433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7"/>
      <c r="P51" s="42"/>
    </row>
    <row r="52" spans="1:1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109" t="s">
        <v>702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109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01"/>
      <c r="B55" s="101"/>
      <c r="C55" s="110" t="s">
        <v>623</v>
      </c>
      <c r="D55" s="110"/>
      <c r="E55" s="110"/>
      <c r="F55" s="110"/>
      <c r="G55" s="110"/>
      <c r="H55" s="111"/>
      <c r="I55" s="111"/>
      <c r="J55" s="111"/>
      <c r="K55" s="111"/>
      <c r="L55" s="111"/>
      <c r="M55" s="111"/>
      <c r="N55" s="111"/>
      <c r="O55" s="110"/>
      <c r="P55" s="42"/>
    </row>
    <row r="56" spans="1:16" x14ac:dyDescent="0.25">
      <c r="A56" s="73"/>
      <c r="B56" s="73"/>
      <c r="C56" s="109"/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3"/>
      <c r="P56" s="42"/>
    </row>
    <row r="57" spans="1:16" x14ac:dyDescent="0.25">
      <c r="A57" s="73"/>
      <c r="B57" s="73"/>
      <c r="C57" s="73"/>
      <c r="D57" s="109" t="s">
        <v>710</v>
      </c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3"/>
      <c r="P57" s="42"/>
    </row>
    <row r="58" spans="1:16" x14ac:dyDescent="0.25">
      <c r="A58" s="73"/>
      <c r="B58" s="73"/>
      <c r="C58" s="73"/>
      <c r="D58" s="109" t="s">
        <v>703</v>
      </c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3"/>
      <c r="P58" s="42"/>
    </row>
    <row r="59" spans="1:16" x14ac:dyDescent="0.25">
      <c r="A59" s="73"/>
      <c r="B59" s="73"/>
      <c r="C59" s="73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3"/>
      <c r="P59" s="42"/>
    </row>
    <row r="60" spans="1:16" x14ac:dyDescent="0.25">
      <c r="A60" s="115"/>
      <c r="B60" s="73"/>
      <c r="C60" s="73"/>
      <c r="D60" s="109"/>
      <c r="E60" s="112" t="s">
        <v>46</v>
      </c>
      <c r="F60" s="73"/>
      <c r="G60" s="73"/>
      <c r="H60" s="74"/>
      <c r="I60" s="132" t="s">
        <v>314</v>
      </c>
      <c r="J60" s="74"/>
      <c r="K60" s="74"/>
      <c r="L60" s="74"/>
      <c r="M60" s="74"/>
      <c r="N60" s="74"/>
      <c r="O60" s="115" t="s">
        <v>570</v>
      </c>
      <c r="P60" s="42"/>
    </row>
    <row r="61" spans="1:16" x14ac:dyDescent="0.25">
      <c r="A61" s="73"/>
      <c r="B61" s="73"/>
      <c r="C61" s="73"/>
      <c r="D61" s="73"/>
      <c r="E61" s="109"/>
      <c r="F61" s="113" t="s">
        <v>47</v>
      </c>
      <c r="G61" s="113" t="s">
        <v>48</v>
      </c>
      <c r="H61" s="36">
        <v>7448</v>
      </c>
      <c r="I61" s="130"/>
      <c r="J61" s="130"/>
      <c r="K61" s="130"/>
      <c r="L61" s="130"/>
      <c r="M61" s="130"/>
      <c r="N61" s="74"/>
      <c r="O61" s="73"/>
      <c r="P61" s="42"/>
    </row>
    <row r="62" spans="1:16" x14ac:dyDescent="0.25">
      <c r="A62" s="73"/>
      <c r="B62" s="73"/>
      <c r="C62" s="73"/>
      <c r="D62" s="73"/>
      <c r="E62" s="73"/>
      <c r="F62" s="115" t="s">
        <v>49</v>
      </c>
      <c r="G62" s="115" t="s">
        <v>48</v>
      </c>
      <c r="H62" s="37">
        <v>442000</v>
      </c>
      <c r="I62" s="130"/>
      <c r="J62" s="130"/>
      <c r="K62" s="130"/>
      <c r="L62" s="130"/>
      <c r="M62" s="130"/>
      <c r="N62" s="74"/>
      <c r="O62" s="73"/>
      <c r="P62" s="42"/>
    </row>
    <row r="63" spans="1:16" x14ac:dyDescent="0.25">
      <c r="A63" s="73"/>
      <c r="B63" s="73"/>
      <c r="C63" s="73"/>
      <c r="D63" s="73"/>
      <c r="E63" s="73"/>
      <c r="F63" s="115" t="s">
        <v>50</v>
      </c>
      <c r="G63" s="115" t="s">
        <v>48</v>
      </c>
      <c r="H63" s="37">
        <v>198165</v>
      </c>
      <c r="I63" s="130"/>
      <c r="J63" s="130"/>
      <c r="K63" s="130"/>
      <c r="L63" s="130"/>
      <c r="M63" s="130"/>
      <c r="N63" s="74"/>
      <c r="O63" s="73"/>
      <c r="P63" s="42"/>
    </row>
    <row r="64" spans="1:16" x14ac:dyDescent="0.25">
      <c r="A64" s="73"/>
      <c r="B64" s="73"/>
      <c r="C64" s="73"/>
      <c r="D64" s="73"/>
      <c r="E64" s="73"/>
      <c r="F64" s="115" t="s">
        <v>51</v>
      </c>
      <c r="G64" s="115" t="s">
        <v>48</v>
      </c>
      <c r="H64" s="37">
        <v>2727.8220000000001</v>
      </c>
      <c r="I64" s="130"/>
      <c r="J64" s="130"/>
      <c r="K64" s="130"/>
      <c r="L64" s="130"/>
      <c r="M64" s="130"/>
      <c r="N64" s="74"/>
      <c r="O64" s="73"/>
      <c r="P64" s="42"/>
    </row>
    <row r="65" spans="1:16" x14ac:dyDescent="0.25">
      <c r="A65" s="73"/>
      <c r="B65" s="73"/>
      <c r="C65" s="73"/>
      <c r="D65" s="73"/>
      <c r="E65" s="73"/>
      <c r="F65" s="115" t="s">
        <v>52</v>
      </c>
      <c r="G65" s="115" t="s">
        <v>48</v>
      </c>
      <c r="H65" s="37">
        <v>4957.2</v>
      </c>
      <c r="I65" s="130"/>
      <c r="J65" s="130"/>
      <c r="K65" s="130"/>
      <c r="L65" s="130"/>
      <c r="M65" s="130"/>
      <c r="N65" s="74"/>
      <c r="O65" s="73"/>
      <c r="P65" s="42"/>
    </row>
    <row r="66" spans="1:16" x14ac:dyDescent="0.25">
      <c r="A66" s="73"/>
      <c r="B66" s="73"/>
      <c r="C66" s="73"/>
      <c r="D66" s="73"/>
      <c r="E66" s="73"/>
      <c r="F66" s="115" t="s">
        <v>53</v>
      </c>
      <c r="G66" s="115" t="s">
        <v>48</v>
      </c>
      <c r="H66" s="37">
        <v>6391.3</v>
      </c>
      <c r="I66" s="130"/>
      <c r="J66" s="130"/>
      <c r="K66" s="130"/>
      <c r="L66" s="130"/>
      <c r="M66" s="130"/>
      <c r="N66" s="74"/>
      <c r="O66" s="73"/>
      <c r="P66" s="42"/>
    </row>
    <row r="67" spans="1:16" x14ac:dyDescent="0.25">
      <c r="A67" s="73"/>
      <c r="B67" s="73"/>
      <c r="C67" s="73"/>
      <c r="D67" s="73"/>
      <c r="E67" s="73"/>
      <c r="F67" s="115" t="s">
        <v>54</v>
      </c>
      <c r="G67" s="115" t="s">
        <v>48</v>
      </c>
      <c r="H67" s="37">
        <v>1091923</v>
      </c>
      <c r="I67" s="130"/>
      <c r="J67" s="130"/>
      <c r="K67" s="130"/>
      <c r="L67" s="130"/>
      <c r="M67" s="130"/>
      <c r="N67" s="74"/>
      <c r="O67" s="73"/>
      <c r="P67" s="42"/>
    </row>
    <row r="68" spans="1:16" x14ac:dyDescent="0.25">
      <c r="A68" s="73"/>
      <c r="B68" s="73"/>
      <c r="C68" s="73"/>
      <c r="D68" s="73"/>
      <c r="E68" s="73"/>
      <c r="F68" s="115" t="s">
        <v>55</v>
      </c>
      <c r="G68" s="115" t="s">
        <v>48</v>
      </c>
      <c r="H68" s="37">
        <v>6864</v>
      </c>
      <c r="I68" s="130"/>
      <c r="J68" s="130"/>
      <c r="K68" s="130"/>
      <c r="L68" s="130"/>
      <c r="M68" s="130"/>
      <c r="N68" s="74"/>
      <c r="O68" s="73"/>
      <c r="P68" s="42"/>
    </row>
    <row r="69" spans="1:16" x14ac:dyDescent="0.25">
      <c r="A69" s="73"/>
      <c r="B69" s="73"/>
      <c r="C69" s="73"/>
      <c r="D69" s="73"/>
      <c r="E69" s="73"/>
      <c r="F69" s="115" t="s">
        <v>56</v>
      </c>
      <c r="G69" s="115" t="s">
        <v>48</v>
      </c>
      <c r="H69" s="37">
        <v>3328</v>
      </c>
      <c r="I69" s="130"/>
      <c r="J69" s="130"/>
      <c r="K69" s="130"/>
      <c r="L69" s="130"/>
      <c r="M69" s="130"/>
      <c r="N69" s="74"/>
      <c r="O69" s="73"/>
      <c r="P69" s="42"/>
    </row>
    <row r="70" spans="1:16" x14ac:dyDescent="0.25">
      <c r="A70" s="73"/>
      <c r="B70" s="73"/>
      <c r="C70" s="73"/>
      <c r="D70" s="73"/>
      <c r="E70" s="73"/>
      <c r="F70" s="115" t="s">
        <v>57</v>
      </c>
      <c r="G70" s="115" t="s">
        <v>48</v>
      </c>
      <c r="H70" s="37">
        <v>1579</v>
      </c>
      <c r="I70" s="130"/>
      <c r="J70" s="130"/>
      <c r="K70" s="130"/>
      <c r="L70" s="130"/>
      <c r="M70" s="130"/>
      <c r="N70" s="74"/>
      <c r="O70" s="73"/>
      <c r="P70" s="42"/>
    </row>
    <row r="71" spans="1:16" x14ac:dyDescent="0.25">
      <c r="A71" s="73"/>
      <c r="B71" s="73"/>
      <c r="C71" s="73"/>
      <c r="D71" s="73"/>
      <c r="E71" s="73"/>
      <c r="F71" s="115" t="s">
        <v>58</v>
      </c>
      <c r="G71" s="115" t="s">
        <v>48</v>
      </c>
      <c r="H71" s="37">
        <v>11751</v>
      </c>
      <c r="I71" s="130"/>
      <c r="J71" s="130"/>
      <c r="K71" s="130"/>
      <c r="L71" s="130"/>
      <c r="M71" s="130"/>
      <c r="N71" s="74"/>
      <c r="O71" s="73"/>
      <c r="P71" s="42"/>
    </row>
    <row r="72" spans="1:16" x14ac:dyDescent="0.25">
      <c r="A72" s="73"/>
      <c r="B72" s="73"/>
      <c r="C72" s="73"/>
      <c r="D72" s="73"/>
      <c r="E72" s="73"/>
      <c r="F72" s="115" t="s">
        <v>59</v>
      </c>
      <c r="G72" s="115" t="s">
        <v>48</v>
      </c>
      <c r="H72" s="37">
        <v>37881</v>
      </c>
      <c r="I72" s="130"/>
      <c r="J72" s="130"/>
      <c r="K72" s="130"/>
      <c r="L72" s="130"/>
      <c r="M72" s="130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5" t="s">
        <v>60</v>
      </c>
      <c r="G73" s="115" t="s">
        <v>48</v>
      </c>
      <c r="H73" s="37">
        <v>858</v>
      </c>
      <c r="I73" s="130"/>
      <c r="J73" s="130"/>
      <c r="K73" s="130"/>
      <c r="L73" s="130"/>
      <c r="M73" s="130"/>
      <c r="N73" s="74"/>
      <c r="O73" s="73"/>
      <c r="P73" s="42"/>
    </row>
    <row r="74" spans="1:16" x14ac:dyDescent="0.25">
      <c r="A74" s="73"/>
      <c r="B74" s="73"/>
      <c r="C74" s="73"/>
      <c r="D74" s="73"/>
      <c r="E74" s="73"/>
      <c r="F74" s="115" t="s">
        <v>61</v>
      </c>
      <c r="G74" s="115" t="s">
        <v>48</v>
      </c>
      <c r="H74" s="37">
        <v>16591</v>
      </c>
      <c r="I74" s="130"/>
      <c r="J74" s="130"/>
      <c r="K74" s="130"/>
      <c r="L74" s="130"/>
      <c r="M74" s="130"/>
      <c r="N74" s="74"/>
      <c r="O74" s="73"/>
      <c r="P74" s="42"/>
    </row>
    <row r="75" spans="1:16" x14ac:dyDescent="0.25">
      <c r="A75" s="73"/>
      <c r="B75" s="73"/>
      <c r="C75" s="73"/>
      <c r="D75" s="73"/>
      <c r="E75" s="73"/>
      <c r="F75" s="115" t="s">
        <v>62</v>
      </c>
      <c r="G75" s="115" t="s">
        <v>48</v>
      </c>
      <c r="H75" s="37">
        <v>0</v>
      </c>
      <c r="I75" s="130"/>
      <c r="J75" s="130"/>
      <c r="K75" s="130"/>
      <c r="L75" s="130"/>
      <c r="M75" s="130"/>
      <c r="N75" s="74"/>
      <c r="O75" s="73"/>
      <c r="P75" s="42"/>
    </row>
    <row r="76" spans="1:16" x14ac:dyDescent="0.25">
      <c r="A76" s="73"/>
      <c r="B76" s="73"/>
      <c r="C76" s="73"/>
      <c r="D76" s="73"/>
      <c r="E76" s="73"/>
      <c r="F76" s="115" t="s">
        <v>428</v>
      </c>
      <c r="G76" s="115" t="s">
        <v>48</v>
      </c>
      <c r="H76" s="37">
        <v>0</v>
      </c>
      <c r="I76" s="130"/>
      <c r="J76" s="130"/>
      <c r="K76" s="130"/>
      <c r="L76" s="130"/>
      <c r="M76" s="130"/>
      <c r="N76" s="74"/>
      <c r="O76" s="73"/>
      <c r="P76" s="42"/>
    </row>
    <row r="77" spans="1:16" x14ac:dyDescent="0.25">
      <c r="A77" s="73"/>
      <c r="B77" s="73"/>
      <c r="C77" s="73"/>
      <c r="D77" s="73"/>
      <c r="E77" s="73"/>
      <c r="F77" s="115" t="s">
        <v>63</v>
      </c>
      <c r="G77" s="115" t="s">
        <v>48</v>
      </c>
      <c r="H77" s="37">
        <v>0</v>
      </c>
      <c r="I77" s="130"/>
      <c r="J77" s="130"/>
      <c r="K77" s="130"/>
      <c r="L77" s="130"/>
      <c r="M77" s="130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115" t="s">
        <v>64</v>
      </c>
      <c r="G78" s="115" t="s">
        <v>48</v>
      </c>
      <c r="H78" s="37">
        <v>213168</v>
      </c>
      <c r="I78" s="130"/>
      <c r="J78" s="130"/>
      <c r="K78" s="130"/>
      <c r="L78" s="130"/>
      <c r="M78" s="130"/>
      <c r="N78" s="74"/>
      <c r="O78" s="73"/>
      <c r="P78" s="42"/>
    </row>
    <row r="79" spans="1:16" x14ac:dyDescent="0.25">
      <c r="A79" s="73"/>
      <c r="B79" s="73"/>
      <c r="C79" s="73"/>
      <c r="D79" s="73"/>
      <c r="E79" s="73"/>
      <c r="F79" s="115" t="s">
        <v>65</v>
      </c>
      <c r="G79" s="115" t="s">
        <v>48</v>
      </c>
      <c r="H79" s="37">
        <v>0</v>
      </c>
      <c r="I79" s="130"/>
      <c r="J79" s="130"/>
      <c r="K79" s="130"/>
      <c r="L79" s="130"/>
      <c r="M79" s="130"/>
      <c r="N79" s="74"/>
      <c r="O79" s="73"/>
      <c r="P79" s="42"/>
    </row>
    <row r="80" spans="1:16" x14ac:dyDescent="0.25">
      <c r="A80" s="73"/>
      <c r="B80" s="73"/>
      <c r="C80" s="73"/>
      <c r="D80" s="73"/>
      <c r="E80" s="73"/>
      <c r="F80" s="115" t="s">
        <v>66</v>
      </c>
      <c r="G80" s="115" t="s">
        <v>48</v>
      </c>
      <c r="H80" s="37">
        <v>6617.3</v>
      </c>
      <c r="I80" s="130"/>
      <c r="J80" s="130"/>
      <c r="K80" s="130"/>
      <c r="L80" s="130"/>
      <c r="M80" s="130"/>
      <c r="N80" s="74"/>
      <c r="O80" s="73"/>
      <c r="P80" s="42"/>
    </row>
    <row r="81" spans="1:16" x14ac:dyDescent="0.25">
      <c r="A81" s="73"/>
      <c r="B81" s="73"/>
      <c r="C81" s="73"/>
      <c r="D81" s="73"/>
      <c r="E81" s="73"/>
      <c r="F81" s="115" t="s">
        <v>67</v>
      </c>
      <c r="G81" s="115" t="s">
        <v>48</v>
      </c>
      <c r="H81" s="37">
        <v>0</v>
      </c>
      <c r="I81" s="130"/>
      <c r="J81" s="130"/>
      <c r="K81" s="130"/>
      <c r="L81" s="130"/>
      <c r="M81" s="130"/>
      <c r="N81" s="74"/>
      <c r="O81" s="73"/>
      <c r="P81" s="42"/>
    </row>
    <row r="82" spans="1:16" x14ac:dyDescent="0.25">
      <c r="A82" s="73"/>
      <c r="B82" s="73"/>
      <c r="C82" s="73"/>
      <c r="D82" s="73"/>
      <c r="E82" s="73"/>
      <c r="F82" s="115" t="s">
        <v>68</v>
      </c>
      <c r="G82" s="115" t="s">
        <v>48</v>
      </c>
      <c r="H82" s="37">
        <v>20</v>
      </c>
      <c r="I82" s="130"/>
      <c r="J82" s="130"/>
      <c r="K82" s="130"/>
      <c r="L82" s="130"/>
      <c r="M82" s="130"/>
      <c r="N82" s="74"/>
      <c r="O82" s="73"/>
      <c r="P82" s="42"/>
    </row>
    <row r="83" spans="1:16" x14ac:dyDescent="0.25">
      <c r="A83" s="73"/>
      <c r="B83" s="73"/>
      <c r="C83" s="73"/>
      <c r="D83" s="73"/>
      <c r="E83" s="73"/>
      <c r="F83" s="115" t="s">
        <v>69</v>
      </c>
      <c r="G83" s="115" t="s">
        <v>48</v>
      </c>
      <c r="H83" s="37">
        <v>697</v>
      </c>
      <c r="I83" s="130"/>
      <c r="J83" s="130"/>
      <c r="K83" s="130"/>
      <c r="L83" s="130"/>
      <c r="M83" s="130"/>
      <c r="N83" s="74"/>
      <c r="O83" s="73"/>
      <c r="P83" s="42"/>
    </row>
    <row r="84" spans="1:16" x14ac:dyDescent="0.25">
      <c r="A84" s="73"/>
      <c r="B84" s="73"/>
      <c r="C84" s="73"/>
      <c r="D84" s="73"/>
      <c r="E84" s="73"/>
      <c r="F84" s="115" t="s">
        <v>70</v>
      </c>
      <c r="G84" s="115" t="s">
        <v>48</v>
      </c>
      <c r="H84" s="37">
        <v>4133</v>
      </c>
      <c r="I84" s="130"/>
      <c r="J84" s="130"/>
      <c r="K84" s="130"/>
      <c r="L84" s="130"/>
      <c r="M84" s="130"/>
      <c r="N84" s="74"/>
      <c r="O84" s="73"/>
      <c r="P84" s="42"/>
    </row>
    <row r="85" spans="1:16" x14ac:dyDescent="0.25">
      <c r="A85" s="73"/>
      <c r="B85" s="73"/>
      <c r="C85" s="73"/>
      <c r="D85" s="73"/>
      <c r="E85" s="73"/>
      <c r="F85" s="115" t="s">
        <v>71</v>
      </c>
      <c r="G85" s="115" t="s">
        <v>48</v>
      </c>
      <c r="H85" s="37">
        <v>140</v>
      </c>
      <c r="I85" s="130"/>
      <c r="J85" s="130"/>
      <c r="K85" s="130"/>
      <c r="L85" s="130"/>
      <c r="M85" s="130"/>
      <c r="N85" s="74"/>
      <c r="O85" s="73"/>
      <c r="P85" s="42"/>
    </row>
    <row r="86" spans="1:16" x14ac:dyDescent="0.25">
      <c r="A86" s="73"/>
      <c r="B86" s="73"/>
      <c r="C86" s="73"/>
      <c r="D86" s="73"/>
      <c r="E86" s="73"/>
      <c r="F86" s="115" t="s">
        <v>72</v>
      </c>
      <c r="G86" s="115" t="s">
        <v>48</v>
      </c>
      <c r="H86" s="37">
        <v>8698</v>
      </c>
      <c r="I86" s="130"/>
      <c r="J86" s="130"/>
      <c r="K86" s="130"/>
      <c r="L86" s="130"/>
      <c r="M86" s="130"/>
      <c r="N86" s="74"/>
      <c r="O86" s="73"/>
      <c r="P86" s="42"/>
    </row>
    <row r="87" spans="1:16" x14ac:dyDescent="0.25">
      <c r="A87" s="73"/>
      <c r="B87" s="73"/>
      <c r="C87" s="73"/>
      <c r="D87" s="73"/>
      <c r="E87" s="73"/>
      <c r="F87" s="115" t="s">
        <v>73</v>
      </c>
      <c r="G87" s="115" t="s">
        <v>48</v>
      </c>
      <c r="H87" s="37">
        <v>7141</v>
      </c>
      <c r="I87" s="130"/>
      <c r="J87" s="130"/>
      <c r="K87" s="130"/>
      <c r="L87" s="130"/>
      <c r="M87" s="130"/>
      <c r="N87" s="74"/>
      <c r="O87" s="73"/>
      <c r="P87" s="42"/>
    </row>
    <row r="88" spans="1:16" x14ac:dyDescent="0.25">
      <c r="A88" s="73"/>
      <c r="B88" s="73"/>
      <c r="C88" s="73"/>
      <c r="D88" s="73"/>
      <c r="E88" s="73"/>
      <c r="F88" s="115" t="s">
        <v>74</v>
      </c>
      <c r="G88" s="115" t="s">
        <v>48</v>
      </c>
      <c r="H88" s="37">
        <v>23664</v>
      </c>
      <c r="I88" s="130"/>
      <c r="J88" s="130"/>
      <c r="K88" s="130"/>
      <c r="L88" s="130"/>
      <c r="M88" s="130"/>
      <c r="N88" s="74"/>
      <c r="O88" s="73"/>
      <c r="P88" s="42"/>
    </row>
    <row r="89" spans="1:16" x14ac:dyDescent="0.25">
      <c r="A89" s="73"/>
      <c r="B89" s="73"/>
      <c r="C89" s="73"/>
      <c r="D89" s="73"/>
      <c r="E89" s="73"/>
      <c r="F89" s="115" t="s">
        <v>75</v>
      </c>
      <c r="G89" s="115" t="s">
        <v>48</v>
      </c>
      <c r="H89" s="37">
        <v>21</v>
      </c>
      <c r="I89" s="130"/>
      <c r="J89" s="130"/>
      <c r="K89" s="130"/>
      <c r="L89" s="130"/>
      <c r="M89" s="130"/>
      <c r="N89" s="74"/>
      <c r="O89" s="73"/>
      <c r="P89" s="42"/>
    </row>
    <row r="90" spans="1:16" x14ac:dyDescent="0.25">
      <c r="A90" s="73"/>
      <c r="B90" s="73"/>
      <c r="C90" s="73"/>
      <c r="D90" s="73"/>
      <c r="E90" s="73"/>
      <c r="F90" s="115" t="s">
        <v>76</v>
      </c>
      <c r="G90" s="115" t="s">
        <v>48</v>
      </c>
      <c r="H90" s="37">
        <v>0</v>
      </c>
      <c r="I90" s="130"/>
      <c r="J90" s="130"/>
      <c r="K90" s="130"/>
      <c r="L90" s="130"/>
      <c r="M90" s="130"/>
      <c r="N90" s="74"/>
      <c r="O90" s="73"/>
      <c r="P90" s="42"/>
    </row>
    <row r="91" spans="1:16" x14ac:dyDescent="0.25">
      <c r="A91" s="73"/>
      <c r="B91" s="73"/>
      <c r="C91" s="73"/>
      <c r="D91" s="73"/>
      <c r="E91" s="73"/>
      <c r="F91" s="115" t="s">
        <v>77</v>
      </c>
      <c r="G91" s="115" t="s">
        <v>48</v>
      </c>
      <c r="H91" s="37">
        <v>0</v>
      </c>
      <c r="I91" s="130"/>
      <c r="J91" s="130"/>
      <c r="K91" s="130"/>
      <c r="L91" s="130"/>
      <c r="M91" s="130"/>
      <c r="N91" s="74"/>
      <c r="O91" s="73"/>
      <c r="P91" s="42"/>
    </row>
    <row r="92" spans="1:16" x14ac:dyDescent="0.25">
      <c r="A92" s="73"/>
      <c r="B92" s="73"/>
      <c r="C92" s="73"/>
      <c r="D92" s="73"/>
      <c r="E92" s="73"/>
      <c r="F92" s="115" t="s">
        <v>78</v>
      </c>
      <c r="G92" s="115" t="s">
        <v>48</v>
      </c>
      <c r="H92" s="37">
        <v>0</v>
      </c>
      <c r="I92" s="130"/>
      <c r="J92" s="130"/>
      <c r="K92" s="130"/>
      <c r="L92" s="130"/>
      <c r="M92" s="130"/>
      <c r="N92" s="74"/>
      <c r="O92" s="73"/>
      <c r="P92" s="42"/>
    </row>
    <row r="93" spans="1:16" x14ac:dyDescent="0.25">
      <c r="A93" s="73"/>
      <c r="B93" s="73"/>
      <c r="C93" s="73"/>
      <c r="D93" s="73"/>
      <c r="E93" s="73"/>
      <c r="F93" s="115" t="s">
        <v>79</v>
      </c>
      <c r="G93" s="115" t="s">
        <v>48</v>
      </c>
      <c r="H93" s="37">
        <v>0</v>
      </c>
      <c r="I93" s="130"/>
      <c r="J93" s="130"/>
      <c r="K93" s="130"/>
      <c r="L93" s="130"/>
      <c r="M93" s="130"/>
      <c r="N93" s="74"/>
      <c r="O93" s="73"/>
      <c r="P93" s="42"/>
    </row>
    <row r="94" spans="1:16" x14ac:dyDescent="0.25">
      <c r="A94" s="73"/>
      <c r="B94" s="73"/>
      <c r="C94" s="73"/>
      <c r="D94" s="73"/>
      <c r="E94" s="73"/>
      <c r="F94" s="115" t="s">
        <v>80</v>
      </c>
      <c r="G94" s="115" t="s">
        <v>48</v>
      </c>
      <c r="H94" s="37">
        <v>0</v>
      </c>
      <c r="I94" s="130"/>
      <c r="J94" s="130"/>
      <c r="K94" s="130"/>
      <c r="L94" s="130"/>
      <c r="M94" s="130"/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81</v>
      </c>
      <c r="G95" s="115" t="s">
        <v>48</v>
      </c>
      <c r="H95" s="37">
        <v>0</v>
      </c>
      <c r="I95" s="130"/>
      <c r="J95" s="130"/>
      <c r="K95" s="130"/>
      <c r="L95" s="130"/>
      <c r="M95" s="130"/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82</v>
      </c>
      <c r="G96" s="115" t="s">
        <v>48</v>
      </c>
      <c r="H96" s="37">
        <v>0</v>
      </c>
      <c r="I96" s="130"/>
      <c r="J96" s="130"/>
      <c r="K96" s="130"/>
      <c r="L96" s="130"/>
      <c r="M96" s="130"/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83</v>
      </c>
      <c r="G97" s="115" t="s">
        <v>48</v>
      </c>
      <c r="H97" s="37">
        <v>38122</v>
      </c>
      <c r="I97" s="130"/>
      <c r="J97" s="130"/>
      <c r="K97" s="130"/>
      <c r="L97" s="130"/>
      <c r="M97" s="130"/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5" t="s">
        <v>84</v>
      </c>
      <c r="G98" s="115" t="s">
        <v>48</v>
      </c>
      <c r="H98" s="37">
        <v>12901</v>
      </c>
      <c r="I98" s="130"/>
      <c r="J98" s="130"/>
      <c r="K98" s="130"/>
      <c r="L98" s="130"/>
      <c r="M98" s="130"/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115" t="s">
        <v>85</v>
      </c>
      <c r="G99" s="115" t="s">
        <v>48</v>
      </c>
      <c r="H99" s="37">
        <v>0</v>
      </c>
      <c r="I99" s="130"/>
      <c r="J99" s="130"/>
      <c r="K99" s="130"/>
      <c r="L99" s="130"/>
      <c r="M99" s="130"/>
      <c r="N99" s="74"/>
      <c r="O99" s="73"/>
      <c r="P99" s="42"/>
    </row>
    <row r="100" spans="1:16" x14ac:dyDescent="0.25">
      <c r="A100" s="73"/>
      <c r="B100" s="73"/>
      <c r="C100" s="73"/>
      <c r="D100" s="73"/>
      <c r="E100" s="73"/>
      <c r="F100" s="115" t="s">
        <v>86</v>
      </c>
      <c r="G100" s="115" t="s">
        <v>48</v>
      </c>
      <c r="H100" s="37">
        <v>0</v>
      </c>
      <c r="I100" s="130"/>
      <c r="J100" s="130"/>
      <c r="K100" s="130"/>
      <c r="L100" s="130"/>
      <c r="M100" s="130"/>
      <c r="N100" s="74"/>
      <c r="O100" s="73"/>
      <c r="P100" s="42"/>
    </row>
    <row r="101" spans="1:16" x14ac:dyDescent="0.25">
      <c r="A101" s="73"/>
      <c r="B101" s="73"/>
      <c r="C101" s="73"/>
      <c r="D101" s="73"/>
      <c r="E101" s="73"/>
      <c r="F101" s="115" t="s">
        <v>87</v>
      </c>
      <c r="G101" s="115" t="s">
        <v>48</v>
      </c>
      <c r="H101" s="37">
        <v>2808</v>
      </c>
      <c r="I101" s="130"/>
      <c r="J101" s="130"/>
      <c r="K101" s="130"/>
      <c r="L101" s="130"/>
      <c r="M101" s="130"/>
      <c r="N101" s="74"/>
      <c r="O101" s="73"/>
      <c r="P101" s="42"/>
    </row>
    <row r="102" spans="1:16" x14ac:dyDescent="0.25">
      <c r="A102" s="73"/>
      <c r="B102" s="73"/>
      <c r="C102" s="73"/>
      <c r="D102" s="73"/>
      <c r="E102" s="73"/>
      <c r="F102" s="115" t="s">
        <v>88</v>
      </c>
      <c r="G102" s="115" t="s">
        <v>48</v>
      </c>
      <c r="H102" s="37">
        <v>101</v>
      </c>
      <c r="I102" s="130"/>
      <c r="J102" s="130"/>
      <c r="K102" s="130"/>
      <c r="L102" s="130"/>
      <c r="M102" s="130"/>
      <c r="N102" s="74"/>
      <c r="O102" s="73"/>
      <c r="P102" s="42"/>
    </row>
    <row r="103" spans="1:16" x14ac:dyDescent="0.25">
      <c r="A103" s="73"/>
      <c r="B103" s="73"/>
      <c r="C103" s="73"/>
      <c r="D103" s="73"/>
      <c r="E103" s="73"/>
      <c r="F103" s="115" t="s">
        <v>89</v>
      </c>
      <c r="G103" s="115" t="s">
        <v>48</v>
      </c>
      <c r="H103" s="37">
        <v>0</v>
      </c>
      <c r="I103" s="130"/>
      <c r="J103" s="130"/>
      <c r="K103" s="130"/>
      <c r="L103" s="130"/>
      <c r="M103" s="130"/>
      <c r="N103" s="74"/>
      <c r="O103" s="73"/>
      <c r="P103" s="42"/>
    </row>
    <row r="104" spans="1:16" x14ac:dyDescent="0.25">
      <c r="A104" s="73"/>
      <c r="B104" s="73"/>
      <c r="C104" s="73"/>
      <c r="D104" s="73"/>
      <c r="E104" s="73"/>
      <c r="F104" s="115" t="s">
        <v>90</v>
      </c>
      <c r="G104" s="115" t="s">
        <v>48</v>
      </c>
      <c r="H104" s="37">
        <v>0</v>
      </c>
      <c r="I104" s="130"/>
      <c r="J104" s="130"/>
      <c r="K104" s="130"/>
      <c r="L104" s="130"/>
      <c r="M104" s="130"/>
      <c r="N104" s="74"/>
      <c r="O104" s="73"/>
      <c r="P104" s="42"/>
    </row>
    <row r="105" spans="1:16" x14ac:dyDescent="0.25">
      <c r="A105" s="73"/>
      <c r="B105" s="73"/>
      <c r="C105" s="73"/>
      <c r="D105" s="73"/>
      <c r="E105" s="73"/>
      <c r="F105" s="115" t="s">
        <v>91</v>
      </c>
      <c r="G105" s="115" t="s">
        <v>48</v>
      </c>
      <c r="H105" s="37">
        <v>29358</v>
      </c>
      <c r="I105" s="130"/>
      <c r="J105" s="130"/>
      <c r="K105" s="130"/>
      <c r="L105" s="130"/>
      <c r="M105" s="130"/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92</v>
      </c>
      <c r="G106" s="115" t="s">
        <v>48</v>
      </c>
      <c r="H106" s="37">
        <v>431</v>
      </c>
      <c r="I106" s="130"/>
      <c r="J106" s="130"/>
      <c r="K106" s="130"/>
      <c r="L106" s="130"/>
      <c r="M106" s="130"/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93</v>
      </c>
      <c r="G107" s="115" t="s">
        <v>48</v>
      </c>
      <c r="H107" s="37">
        <v>0</v>
      </c>
      <c r="I107" s="130"/>
      <c r="J107" s="130"/>
      <c r="K107" s="130"/>
      <c r="L107" s="130"/>
      <c r="M107" s="130"/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94</v>
      </c>
      <c r="G108" s="115" t="s">
        <v>48</v>
      </c>
      <c r="H108" s="37">
        <v>0</v>
      </c>
      <c r="I108" s="130"/>
      <c r="J108" s="130"/>
      <c r="K108" s="130"/>
      <c r="L108" s="130"/>
      <c r="M108" s="130"/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5" t="s">
        <v>95</v>
      </c>
      <c r="G109" s="115" t="s">
        <v>48</v>
      </c>
      <c r="H109" s="37">
        <v>767.17</v>
      </c>
      <c r="I109" s="130"/>
      <c r="J109" s="130"/>
      <c r="K109" s="130"/>
      <c r="L109" s="130"/>
      <c r="M109" s="130"/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115" t="s">
        <v>96</v>
      </c>
      <c r="G110" s="115" t="s">
        <v>48</v>
      </c>
      <c r="H110" s="37">
        <v>63.135000000000005</v>
      </c>
      <c r="I110" s="130"/>
      <c r="J110" s="130"/>
      <c r="K110" s="130"/>
      <c r="L110" s="130"/>
      <c r="M110" s="130"/>
      <c r="N110" s="74"/>
      <c r="O110" s="73"/>
      <c r="P110" s="42"/>
    </row>
    <row r="111" spans="1:16" x14ac:dyDescent="0.25">
      <c r="A111" s="73"/>
      <c r="B111" s="73"/>
      <c r="C111" s="73"/>
      <c r="D111" s="73"/>
      <c r="E111" s="73"/>
      <c r="F111" s="115" t="s">
        <v>97</v>
      </c>
      <c r="G111" s="115" t="s">
        <v>48</v>
      </c>
      <c r="H111" s="37">
        <v>34</v>
      </c>
      <c r="I111" s="130"/>
      <c r="J111" s="130"/>
      <c r="K111" s="130"/>
      <c r="L111" s="130"/>
      <c r="M111" s="130"/>
      <c r="N111" s="74"/>
      <c r="O111" s="73"/>
      <c r="P111" s="42"/>
    </row>
    <row r="112" spans="1:16" x14ac:dyDescent="0.25">
      <c r="A112" s="73"/>
      <c r="B112" s="73"/>
      <c r="C112" s="73"/>
      <c r="D112" s="73"/>
      <c r="E112" s="73"/>
      <c r="F112" s="115" t="s">
        <v>98</v>
      </c>
      <c r="G112" s="115" t="s">
        <v>48</v>
      </c>
      <c r="H112" s="37">
        <v>0</v>
      </c>
      <c r="I112" s="130"/>
      <c r="J112" s="130"/>
      <c r="K112" s="130"/>
      <c r="L112" s="130"/>
      <c r="M112" s="130"/>
      <c r="N112" s="74"/>
      <c r="O112" s="73"/>
      <c r="P112" s="42"/>
    </row>
    <row r="113" spans="1:16" x14ac:dyDescent="0.25">
      <c r="A113" s="73"/>
      <c r="B113" s="73"/>
      <c r="C113" s="73"/>
      <c r="D113" s="73"/>
      <c r="E113" s="73"/>
      <c r="F113" s="115" t="s">
        <v>99</v>
      </c>
      <c r="G113" s="115" t="s">
        <v>48</v>
      </c>
      <c r="H113" s="37">
        <v>0</v>
      </c>
      <c r="I113" s="130"/>
      <c r="J113" s="130"/>
      <c r="K113" s="130"/>
      <c r="L113" s="130"/>
      <c r="M113" s="130"/>
      <c r="N113" s="74"/>
      <c r="O113" s="73"/>
      <c r="P113" s="42"/>
    </row>
    <row r="114" spans="1:16" x14ac:dyDescent="0.25">
      <c r="A114" s="73"/>
      <c r="B114" s="73"/>
      <c r="C114" s="73"/>
      <c r="D114" s="73"/>
      <c r="E114" s="73"/>
      <c r="F114" s="115" t="s">
        <v>100</v>
      </c>
      <c r="G114" s="115" t="s">
        <v>48</v>
      </c>
      <c r="H114" s="37">
        <v>0</v>
      </c>
      <c r="I114" s="130"/>
      <c r="J114" s="130"/>
      <c r="K114" s="130"/>
      <c r="L114" s="130"/>
      <c r="M114" s="130"/>
      <c r="N114" s="74"/>
      <c r="O114" s="73"/>
      <c r="P114" s="42"/>
    </row>
    <row r="115" spans="1:16" x14ac:dyDescent="0.25">
      <c r="A115" s="73"/>
      <c r="B115" s="73"/>
      <c r="C115" s="73"/>
      <c r="D115" s="73"/>
      <c r="E115" s="73"/>
      <c r="F115" s="115" t="s">
        <v>101</v>
      </c>
      <c r="G115" s="115" t="s">
        <v>48</v>
      </c>
      <c r="H115" s="37">
        <v>66</v>
      </c>
      <c r="I115" s="130"/>
      <c r="J115" s="130"/>
      <c r="K115" s="130"/>
      <c r="L115" s="130"/>
      <c r="M115" s="130"/>
      <c r="N115" s="74"/>
      <c r="O115" s="73"/>
      <c r="P115" s="42"/>
    </row>
    <row r="116" spans="1:16" x14ac:dyDescent="0.25">
      <c r="A116" s="73"/>
      <c r="B116" s="73"/>
      <c r="C116" s="73"/>
      <c r="D116" s="73"/>
      <c r="E116" s="73"/>
      <c r="F116" s="115" t="s">
        <v>102</v>
      </c>
      <c r="G116" s="115" t="s">
        <v>48</v>
      </c>
      <c r="H116" s="37">
        <v>296</v>
      </c>
      <c r="I116" s="130"/>
      <c r="J116" s="130"/>
      <c r="K116" s="130"/>
      <c r="L116" s="130"/>
      <c r="M116" s="130"/>
      <c r="N116" s="74"/>
      <c r="O116" s="73"/>
      <c r="P116" s="42"/>
    </row>
    <row r="117" spans="1:16" x14ac:dyDescent="0.25">
      <c r="A117" s="73"/>
      <c r="B117" s="73"/>
      <c r="C117" s="73"/>
      <c r="D117" s="73"/>
      <c r="E117" s="73"/>
      <c r="F117" s="115" t="s">
        <v>103</v>
      </c>
      <c r="G117" s="115" t="s">
        <v>48</v>
      </c>
      <c r="H117" s="37">
        <v>675</v>
      </c>
      <c r="I117" s="130"/>
      <c r="J117" s="130"/>
      <c r="K117" s="130"/>
      <c r="L117" s="130"/>
      <c r="M117" s="130"/>
      <c r="N117" s="74"/>
      <c r="O117" s="73"/>
      <c r="P117" s="42"/>
    </row>
    <row r="118" spans="1:16" x14ac:dyDescent="0.25">
      <c r="A118" s="73"/>
      <c r="B118" s="73"/>
      <c r="C118" s="73"/>
      <c r="D118" s="73"/>
      <c r="E118" s="73"/>
      <c r="F118" s="115" t="s">
        <v>104</v>
      </c>
      <c r="G118" s="115" t="s">
        <v>48</v>
      </c>
      <c r="H118" s="37">
        <v>14</v>
      </c>
      <c r="I118" s="130"/>
      <c r="J118" s="130"/>
      <c r="K118" s="130"/>
      <c r="L118" s="130"/>
      <c r="M118" s="130"/>
      <c r="N118" s="74"/>
      <c r="O118" s="73"/>
      <c r="P118" s="42"/>
    </row>
    <row r="119" spans="1:16" x14ac:dyDescent="0.25">
      <c r="A119" s="73"/>
      <c r="B119" s="73"/>
      <c r="C119" s="73"/>
      <c r="D119" s="73"/>
      <c r="E119" s="73"/>
      <c r="F119" s="115" t="s">
        <v>105</v>
      </c>
      <c r="G119" s="115" t="s">
        <v>48</v>
      </c>
      <c r="H119" s="37">
        <v>0</v>
      </c>
      <c r="I119" s="130"/>
      <c r="J119" s="130"/>
      <c r="K119" s="130"/>
      <c r="L119" s="130"/>
      <c r="M119" s="130"/>
      <c r="N119" s="74"/>
      <c r="O119" s="73"/>
      <c r="P119" s="42"/>
    </row>
    <row r="120" spans="1:16" x14ac:dyDescent="0.25">
      <c r="A120" s="73"/>
      <c r="B120" s="73"/>
      <c r="C120" s="73"/>
      <c r="D120" s="73"/>
      <c r="E120" s="73"/>
      <c r="F120" s="115" t="s">
        <v>106</v>
      </c>
      <c r="G120" s="115" t="s">
        <v>48</v>
      </c>
      <c r="H120" s="37">
        <v>2</v>
      </c>
      <c r="I120" s="130"/>
      <c r="J120" s="130"/>
      <c r="K120" s="130"/>
      <c r="L120" s="130"/>
      <c r="M120" s="130"/>
      <c r="N120" s="74"/>
      <c r="O120" s="73"/>
      <c r="P120" s="42"/>
    </row>
    <row r="121" spans="1:16" x14ac:dyDescent="0.25">
      <c r="A121" s="73"/>
      <c r="B121" s="73"/>
      <c r="C121" s="73"/>
      <c r="D121" s="73"/>
      <c r="E121" s="73"/>
      <c r="F121" s="115" t="s">
        <v>107</v>
      </c>
      <c r="G121" s="115" t="s">
        <v>48</v>
      </c>
      <c r="H121" s="37">
        <v>3273</v>
      </c>
      <c r="I121" s="130"/>
      <c r="J121" s="130"/>
      <c r="K121" s="130"/>
      <c r="L121" s="130"/>
      <c r="M121" s="130"/>
      <c r="N121" s="74"/>
      <c r="O121" s="73"/>
      <c r="P121" s="42"/>
    </row>
    <row r="122" spans="1:16" x14ac:dyDescent="0.25">
      <c r="A122" s="73"/>
      <c r="B122" s="73"/>
      <c r="C122" s="73"/>
      <c r="D122" s="73"/>
      <c r="E122" s="73"/>
      <c r="F122" s="115" t="s">
        <v>108</v>
      </c>
      <c r="G122" s="115" t="s">
        <v>48</v>
      </c>
      <c r="H122" s="37">
        <v>0</v>
      </c>
      <c r="I122" s="130"/>
      <c r="J122" s="130"/>
      <c r="K122" s="130"/>
      <c r="L122" s="130"/>
      <c r="M122" s="130"/>
      <c r="N122" s="74"/>
      <c r="O122" s="73"/>
      <c r="P122" s="42"/>
    </row>
    <row r="123" spans="1:16" x14ac:dyDescent="0.25">
      <c r="A123" s="73"/>
      <c r="B123" s="73"/>
      <c r="C123" s="73"/>
      <c r="D123" s="73"/>
      <c r="E123" s="73"/>
      <c r="F123" s="115" t="s">
        <v>109</v>
      </c>
      <c r="G123" s="115" t="s">
        <v>48</v>
      </c>
      <c r="H123" s="37">
        <v>0</v>
      </c>
      <c r="I123" s="130"/>
      <c r="J123" s="130"/>
      <c r="K123" s="130"/>
      <c r="L123" s="130"/>
      <c r="M123" s="130"/>
      <c r="N123" s="74"/>
      <c r="O123" s="73"/>
      <c r="P123" s="42"/>
    </row>
    <row r="124" spans="1:16" x14ac:dyDescent="0.25">
      <c r="A124" s="73"/>
      <c r="B124" s="73"/>
      <c r="C124" s="73"/>
      <c r="D124" s="73"/>
      <c r="E124" s="73"/>
      <c r="F124" s="115" t="s">
        <v>110</v>
      </c>
      <c r="G124" s="115" t="s">
        <v>48</v>
      </c>
      <c r="H124" s="37">
        <v>1</v>
      </c>
      <c r="I124" s="130"/>
      <c r="J124" s="130"/>
      <c r="K124" s="130"/>
      <c r="L124" s="130"/>
      <c r="M124" s="130"/>
      <c r="N124" s="74"/>
      <c r="O124" s="73"/>
      <c r="P124" s="42"/>
    </row>
    <row r="125" spans="1:16" x14ac:dyDescent="0.25">
      <c r="A125" s="73"/>
      <c r="B125" s="73"/>
      <c r="C125" s="73"/>
      <c r="D125" s="73"/>
      <c r="E125" s="73"/>
      <c r="F125" s="115" t="s">
        <v>111</v>
      </c>
      <c r="G125" s="115" t="s">
        <v>48</v>
      </c>
      <c r="H125" s="37">
        <v>587</v>
      </c>
      <c r="I125" s="130"/>
      <c r="J125" s="130"/>
      <c r="K125" s="130"/>
      <c r="L125" s="130"/>
      <c r="M125" s="130"/>
      <c r="N125" s="74"/>
      <c r="O125" s="73"/>
      <c r="P125" s="42"/>
    </row>
    <row r="126" spans="1:16" x14ac:dyDescent="0.25">
      <c r="A126" s="73"/>
      <c r="B126" s="73"/>
      <c r="C126" s="73"/>
      <c r="D126" s="73"/>
      <c r="E126" s="73"/>
      <c r="F126" s="115" t="s">
        <v>112</v>
      </c>
      <c r="G126" s="115" t="s">
        <v>48</v>
      </c>
      <c r="H126" s="37">
        <v>189</v>
      </c>
      <c r="I126" s="130"/>
      <c r="J126" s="130"/>
      <c r="K126" s="130"/>
      <c r="L126" s="130"/>
      <c r="M126" s="130"/>
      <c r="N126" s="74"/>
      <c r="O126" s="73"/>
      <c r="P126" s="42"/>
    </row>
    <row r="127" spans="1:16" x14ac:dyDescent="0.25">
      <c r="A127" s="73"/>
      <c r="B127" s="73"/>
      <c r="C127" s="73"/>
      <c r="D127" s="73"/>
      <c r="E127" s="73"/>
      <c r="F127" s="115" t="s">
        <v>113</v>
      </c>
      <c r="G127" s="115" t="s">
        <v>48</v>
      </c>
      <c r="H127" s="37">
        <v>0</v>
      </c>
      <c r="I127" s="130"/>
      <c r="J127" s="130"/>
      <c r="K127" s="130"/>
      <c r="L127" s="130"/>
      <c r="M127" s="130"/>
      <c r="N127" s="74"/>
      <c r="O127" s="73"/>
      <c r="P127" s="42"/>
    </row>
    <row r="128" spans="1:16" x14ac:dyDescent="0.25">
      <c r="A128" s="73"/>
      <c r="B128" s="73"/>
      <c r="C128" s="73"/>
      <c r="D128" s="73"/>
      <c r="E128" s="73"/>
      <c r="F128" s="115" t="s">
        <v>114</v>
      </c>
      <c r="G128" s="115" t="s">
        <v>48</v>
      </c>
      <c r="H128" s="37">
        <v>0</v>
      </c>
      <c r="I128" s="130"/>
      <c r="J128" s="130"/>
      <c r="K128" s="130"/>
      <c r="L128" s="130"/>
      <c r="M128" s="130"/>
      <c r="N128" s="74"/>
      <c r="O128" s="73"/>
      <c r="P128" s="42"/>
    </row>
    <row r="129" spans="1:16" x14ac:dyDescent="0.25">
      <c r="A129" s="73"/>
      <c r="B129" s="73"/>
      <c r="C129" s="73"/>
      <c r="D129" s="73"/>
      <c r="E129" s="73"/>
      <c r="F129" s="115" t="s">
        <v>115</v>
      </c>
      <c r="G129" s="115" t="s">
        <v>48</v>
      </c>
      <c r="H129" s="37">
        <v>62.1</v>
      </c>
      <c r="I129" s="130"/>
      <c r="J129" s="130"/>
      <c r="K129" s="130"/>
      <c r="L129" s="130"/>
      <c r="M129" s="130"/>
      <c r="N129" s="74"/>
      <c r="O129" s="73"/>
      <c r="P129" s="42"/>
    </row>
    <row r="130" spans="1:16" x14ac:dyDescent="0.25">
      <c r="A130" s="73"/>
      <c r="B130" s="73"/>
      <c r="C130" s="73"/>
      <c r="D130" s="73"/>
      <c r="E130" s="73"/>
      <c r="F130" s="115" t="s">
        <v>116</v>
      </c>
      <c r="G130" s="115" t="s">
        <v>48</v>
      </c>
      <c r="H130" s="37">
        <v>1382</v>
      </c>
      <c r="I130" s="130"/>
      <c r="J130" s="130"/>
      <c r="K130" s="130"/>
      <c r="L130" s="130"/>
      <c r="M130" s="130"/>
      <c r="N130" s="74"/>
      <c r="O130" s="73"/>
      <c r="P130" s="42"/>
    </row>
    <row r="131" spans="1:16" x14ac:dyDescent="0.25">
      <c r="A131" s="73"/>
      <c r="B131" s="73"/>
      <c r="C131" s="73"/>
      <c r="D131" s="73"/>
      <c r="E131" s="73"/>
      <c r="F131" s="115" t="s">
        <v>117</v>
      </c>
      <c r="G131" s="115" t="s">
        <v>48</v>
      </c>
      <c r="H131" s="37">
        <v>558</v>
      </c>
      <c r="I131" s="130"/>
      <c r="J131" s="130"/>
      <c r="K131" s="130"/>
      <c r="L131" s="130"/>
      <c r="M131" s="130"/>
      <c r="N131" s="74"/>
      <c r="O131" s="73"/>
      <c r="P131" s="42"/>
    </row>
    <row r="132" spans="1:16" x14ac:dyDescent="0.25">
      <c r="A132" s="73"/>
      <c r="B132" s="73"/>
      <c r="C132" s="73"/>
      <c r="D132" s="73"/>
      <c r="E132" s="73"/>
      <c r="F132" s="115" t="s">
        <v>118</v>
      </c>
      <c r="G132" s="115" t="s">
        <v>48</v>
      </c>
      <c r="H132" s="37">
        <v>3100</v>
      </c>
      <c r="I132" s="130"/>
      <c r="J132" s="130"/>
      <c r="K132" s="130"/>
      <c r="L132" s="130"/>
      <c r="M132" s="130"/>
      <c r="N132" s="74"/>
      <c r="O132" s="73"/>
      <c r="P132" s="42"/>
    </row>
    <row r="133" spans="1:16" x14ac:dyDescent="0.25">
      <c r="A133" s="73"/>
      <c r="B133" s="73"/>
      <c r="C133" s="73"/>
      <c r="D133" s="73"/>
      <c r="E133" s="73"/>
      <c r="F133" s="115" t="s">
        <v>119</v>
      </c>
      <c r="G133" s="115" t="s">
        <v>48</v>
      </c>
      <c r="H133" s="37">
        <v>4710</v>
      </c>
      <c r="I133" s="130"/>
      <c r="J133" s="130"/>
      <c r="K133" s="130"/>
      <c r="L133" s="130"/>
      <c r="M133" s="130"/>
      <c r="N133" s="74"/>
      <c r="O133" s="73"/>
      <c r="P133" s="42"/>
    </row>
    <row r="134" spans="1:16" x14ac:dyDescent="0.25">
      <c r="A134" s="73"/>
      <c r="B134" s="73"/>
      <c r="C134" s="73"/>
      <c r="D134" s="73"/>
      <c r="E134" s="73"/>
      <c r="F134" s="115" t="s">
        <v>120</v>
      </c>
      <c r="G134" s="115" t="s">
        <v>48</v>
      </c>
      <c r="H134" s="37">
        <v>7.93</v>
      </c>
      <c r="I134" s="130"/>
      <c r="J134" s="130"/>
      <c r="K134" s="130"/>
      <c r="L134" s="130"/>
      <c r="M134" s="130"/>
      <c r="N134" s="74"/>
      <c r="O134" s="73"/>
      <c r="P134" s="42"/>
    </row>
    <row r="135" spans="1:16" x14ac:dyDescent="0.25">
      <c r="A135" s="73"/>
      <c r="B135" s="73"/>
      <c r="C135" s="73"/>
      <c r="D135" s="73"/>
      <c r="E135" s="73"/>
      <c r="F135" s="115" t="s">
        <v>121</v>
      </c>
      <c r="G135" s="115" t="s">
        <v>48</v>
      </c>
      <c r="H135" s="37">
        <v>67.5</v>
      </c>
      <c r="I135" s="130"/>
      <c r="J135" s="130"/>
      <c r="K135" s="130"/>
      <c r="L135" s="130"/>
      <c r="M135" s="130"/>
      <c r="N135" s="74"/>
      <c r="O135" s="73"/>
      <c r="P135" s="42"/>
    </row>
    <row r="136" spans="1:16" x14ac:dyDescent="0.25">
      <c r="A136" s="73"/>
      <c r="B136" s="73"/>
      <c r="C136" s="73"/>
      <c r="D136" s="73"/>
      <c r="E136" s="73"/>
      <c r="F136" s="115" t="s">
        <v>122</v>
      </c>
      <c r="G136" s="115" t="s">
        <v>48</v>
      </c>
      <c r="H136" s="37">
        <v>0</v>
      </c>
      <c r="I136" s="130"/>
      <c r="J136" s="130"/>
      <c r="K136" s="130"/>
      <c r="L136" s="130"/>
      <c r="M136" s="130"/>
      <c r="N136" s="74"/>
      <c r="O136" s="73"/>
      <c r="P136" s="42"/>
    </row>
    <row r="137" spans="1:16" x14ac:dyDescent="0.25">
      <c r="A137" s="73"/>
      <c r="B137" s="73"/>
      <c r="C137" s="73"/>
      <c r="D137" s="73"/>
      <c r="E137" s="73"/>
      <c r="F137" s="115" t="s">
        <v>123</v>
      </c>
      <c r="G137" s="115" t="s">
        <v>48</v>
      </c>
      <c r="H137" s="37">
        <v>0</v>
      </c>
      <c r="I137" s="130"/>
      <c r="J137" s="130"/>
      <c r="K137" s="130"/>
      <c r="L137" s="130"/>
      <c r="M137" s="130"/>
      <c r="N137" s="74"/>
      <c r="O137" s="73"/>
      <c r="P137" s="42"/>
    </row>
    <row r="138" spans="1:16" x14ac:dyDescent="0.25">
      <c r="A138" s="73"/>
      <c r="B138" s="73"/>
      <c r="C138" s="73"/>
      <c r="D138" s="73"/>
      <c r="E138" s="73"/>
      <c r="F138" s="115" t="s">
        <v>124</v>
      </c>
      <c r="G138" s="115" t="s">
        <v>48</v>
      </c>
      <c r="H138" s="37">
        <v>153</v>
      </c>
      <c r="I138" s="130"/>
      <c r="J138" s="130"/>
      <c r="K138" s="130"/>
      <c r="L138" s="130"/>
      <c r="M138" s="130"/>
      <c r="N138" s="74"/>
      <c r="O138" s="73"/>
      <c r="P138" s="42"/>
    </row>
    <row r="139" spans="1:16" x14ac:dyDescent="0.25">
      <c r="A139" s="73"/>
      <c r="B139" s="73"/>
      <c r="C139" s="73"/>
      <c r="D139" s="73"/>
      <c r="E139" s="73"/>
      <c r="F139" s="115" t="s">
        <v>125</v>
      </c>
      <c r="G139" s="115" t="s">
        <v>48</v>
      </c>
      <c r="H139" s="37">
        <v>856</v>
      </c>
      <c r="I139" s="130"/>
      <c r="J139" s="130"/>
      <c r="K139" s="130"/>
      <c r="L139" s="130"/>
      <c r="M139" s="130"/>
      <c r="N139" s="74"/>
      <c r="O139" s="73"/>
      <c r="P139" s="42"/>
    </row>
    <row r="140" spans="1:16" x14ac:dyDescent="0.25">
      <c r="A140" s="73"/>
      <c r="B140" s="73"/>
      <c r="C140" s="73"/>
      <c r="D140" s="73"/>
      <c r="E140" s="73"/>
      <c r="F140" s="115" t="s">
        <v>126</v>
      </c>
      <c r="G140" s="115" t="s">
        <v>48</v>
      </c>
      <c r="H140" s="37">
        <v>94</v>
      </c>
      <c r="I140" s="130"/>
      <c r="J140" s="130"/>
      <c r="K140" s="130"/>
      <c r="L140" s="130"/>
      <c r="M140" s="130"/>
      <c r="N140" s="74"/>
      <c r="O140" s="73"/>
      <c r="P140" s="42"/>
    </row>
    <row r="141" spans="1:16" x14ac:dyDescent="0.25">
      <c r="A141" s="73"/>
      <c r="B141" s="73"/>
      <c r="C141" s="73"/>
      <c r="D141" s="73"/>
      <c r="E141" s="73"/>
      <c r="F141" s="115" t="s">
        <v>127</v>
      </c>
      <c r="G141" s="115" t="s">
        <v>48</v>
      </c>
      <c r="H141" s="37">
        <v>161</v>
      </c>
      <c r="I141" s="130"/>
      <c r="J141" s="130"/>
      <c r="K141" s="130"/>
      <c r="L141" s="130"/>
      <c r="M141" s="130"/>
      <c r="N141" s="74"/>
      <c r="O141" s="73"/>
      <c r="P141" s="42"/>
    </row>
    <row r="142" spans="1:16" x14ac:dyDescent="0.25">
      <c r="A142" s="73"/>
      <c r="B142" s="73"/>
      <c r="C142" s="73"/>
      <c r="D142" s="73"/>
      <c r="E142" s="73"/>
      <c r="F142" s="115" t="s">
        <v>128</v>
      </c>
      <c r="G142" s="115" t="s">
        <v>48</v>
      </c>
      <c r="H142" s="37">
        <v>0</v>
      </c>
      <c r="I142" s="130"/>
      <c r="J142" s="130"/>
      <c r="K142" s="130"/>
      <c r="L142" s="130"/>
      <c r="M142" s="130"/>
      <c r="N142" s="74"/>
      <c r="O142" s="73"/>
      <c r="P142" s="42"/>
    </row>
    <row r="143" spans="1:16" x14ac:dyDescent="0.25">
      <c r="A143" s="73"/>
      <c r="B143" s="73"/>
      <c r="C143" s="73"/>
      <c r="D143" s="73"/>
      <c r="E143" s="73"/>
      <c r="F143" s="115" t="s">
        <v>129</v>
      </c>
      <c r="G143" s="115" t="s">
        <v>48</v>
      </c>
      <c r="H143" s="37">
        <v>393</v>
      </c>
      <c r="I143" s="130"/>
      <c r="J143" s="130"/>
      <c r="K143" s="130"/>
      <c r="L143" s="130"/>
      <c r="M143" s="130"/>
      <c r="N143" s="74"/>
      <c r="O143" s="73"/>
      <c r="P143" s="42"/>
    </row>
    <row r="144" spans="1:16" x14ac:dyDescent="0.25">
      <c r="A144" s="73"/>
      <c r="B144" s="73"/>
      <c r="C144" s="73"/>
      <c r="D144" s="73"/>
      <c r="E144" s="73"/>
      <c r="F144" s="115" t="s">
        <v>130</v>
      </c>
      <c r="G144" s="115" t="s">
        <v>48</v>
      </c>
      <c r="H144" s="37">
        <v>1747</v>
      </c>
      <c r="I144" s="130"/>
      <c r="J144" s="130"/>
      <c r="K144" s="130"/>
      <c r="L144" s="130"/>
      <c r="M144" s="130"/>
      <c r="N144" s="74"/>
      <c r="O144" s="73"/>
      <c r="P144" s="42"/>
    </row>
    <row r="145" spans="1:16" x14ac:dyDescent="0.25">
      <c r="A145" s="73"/>
      <c r="B145" s="73"/>
      <c r="C145" s="73"/>
      <c r="D145" s="73"/>
      <c r="E145" s="73"/>
      <c r="F145" s="117" t="s">
        <v>131</v>
      </c>
      <c r="G145" s="117" t="s">
        <v>48</v>
      </c>
      <c r="H145" s="38">
        <v>155</v>
      </c>
      <c r="I145" s="130"/>
      <c r="J145" s="130"/>
      <c r="K145" s="130"/>
      <c r="L145" s="130"/>
      <c r="M145" s="130"/>
      <c r="N145" s="74"/>
      <c r="O145" s="73"/>
      <c r="P145" s="42"/>
    </row>
    <row r="146" spans="1:16" x14ac:dyDescent="0.25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3"/>
      <c r="P146" s="42"/>
    </row>
    <row r="147" spans="1:16" x14ac:dyDescent="0.25">
      <c r="A147" s="101"/>
      <c r="B147" s="101"/>
      <c r="C147" s="110" t="s">
        <v>624</v>
      </c>
      <c r="D147" s="110"/>
      <c r="E147" s="110"/>
      <c r="F147" s="110"/>
      <c r="G147" s="110"/>
      <c r="H147" s="111"/>
      <c r="I147" s="111"/>
      <c r="J147" s="111"/>
      <c r="K147" s="111"/>
      <c r="L147" s="111"/>
      <c r="M147" s="111"/>
      <c r="N147" s="111"/>
      <c r="O147" s="110"/>
      <c r="P147" s="42"/>
    </row>
    <row r="148" spans="1:16" x14ac:dyDescent="0.25">
      <c r="A148" s="73"/>
      <c r="B148" s="73"/>
      <c r="C148" s="109"/>
      <c r="D148" s="109"/>
      <c r="E148" s="73"/>
      <c r="F148" s="73"/>
      <c r="G148" s="73"/>
      <c r="H148" s="74"/>
      <c r="I148" s="74"/>
      <c r="J148" s="74"/>
      <c r="K148" s="74"/>
      <c r="L148" s="74"/>
      <c r="M148" s="74"/>
      <c r="N148" s="74"/>
      <c r="O148" s="73"/>
      <c r="P148" s="42"/>
    </row>
    <row r="149" spans="1:16" x14ac:dyDescent="0.25">
      <c r="A149" s="73"/>
      <c r="B149" s="73"/>
      <c r="C149" s="73"/>
      <c r="D149" s="109" t="s">
        <v>709</v>
      </c>
      <c r="E149" s="73"/>
      <c r="F149" s="73"/>
      <c r="G149" s="73"/>
      <c r="H149" s="74"/>
      <c r="I149" s="74"/>
      <c r="J149" s="74"/>
      <c r="K149" s="74"/>
      <c r="L149" s="74"/>
      <c r="M149" s="74"/>
      <c r="N149" s="74"/>
      <c r="O149" s="73"/>
      <c r="P149" s="42"/>
    </row>
    <row r="150" spans="1:16" x14ac:dyDescent="0.25">
      <c r="A150" s="73"/>
      <c r="B150" s="73"/>
      <c r="C150" s="73"/>
      <c r="D150" s="109"/>
      <c r="E150" s="73"/>
      <c r="F150" s="73"/>
      <c r="G150" s="73"/>
      <c r="H150" s="74"/>
      <c r="I150" s="74"/>
      <c r="J150" s="74"/>
      <c r="K150" s="74"/>
      <c r="L150" s="74"/>
      <c r="M150" s="74"/>
      <c r="N150" s="74"/>
      <c r="O150" s="73"/>
      <c r="P150" s="42"/>
    </row>
    <row r="151" spans="1:16" x14ac:dyDescent="0.25">
      <c r="A151" s="115"/>
      <c r="B151" s="73"/>
      <c r="C151" s="73"/>
      <c r="D151" s="109"/>
      <c r="E151" s="112" t="s">
        <v>132</v>
      </c>
      <c r="F151" s="73"/>
      <c r="G151" s="73"/>
      <c r="H151" s="74"/>
      <c r="I151" s="132" t="s">
        <v>314</v>
      </c>
      <c r="J151" s="74"/>
      <c r="K151" s="74"/>
      <c r="L151" s="74"/>
      <c r="M151" s="74"/>
      <c r="N151" s="74"/>
      <c r="O151" s="115" t="s">
        <v>601</v>
      </c>
      <c r="P151" s="42"/>
    </row>
    <row r="152" spans="1:16" x14ac:dyDescent="0.25">
      <c r="A152" s="73"/>
      <c r="B152" s="73"/>
      <c r="C152" s="73"/>
      <c r="D152" s="73"/>
      <c r="E152" s="109"/>
      <c r="F152" s="113" t="s">
        <v>47</v>
      </c>
      <c r="G152" s="113" t="s">
        <v>437</v>
      </c>
      <c r="H152" s="36">
        <v>19440</v>
      </c>
      <c r="I152" s="130"/>
      <c r="J152" s="130"/>
      <c r="K152" s="130"/>
      <c r="L152" s="130"/>
      <c r="M152" s="130"/>
      <c r="N152" s="74"/>
      <c r="O152" s="73"/>
      <c r="P152" s="42"/>
    </row>
    <row r="153" spans="1:16" x14ac:dyDescent="0.25">
      <c r="A153" s="73"/>
      <c r="B153" s="73"/>
      <c r="C153" s="73"/>
      <c r="D153" s="73"/>
      <c r="E153" s="73"/>
      <c r="F153" s="115" t="s">
        <v>49</v>
      </c>
      <c r="G153" s="115" t="s">
        <v>437</v>
      </c>
      <c r="H153" s="37">
        <v>310</v>
      </c>
      <c r="I153" s="130"/>
      <c r="J153" s="130"/>
      <c r="K153" s="130"/>
      <c r="L153" s="130"/>
      <c r="M153" s="130"/>
      <c r="N153" s="74"/>
      <c r="O153" s="73"/>
      <c r="P153" s="42"/>
    </row>
    <row r="154" spans="1:16" x14ac:dyDescent="0.25">
      <c r="A154" s="73"/>
      <c r="B154" s="73"/>
      <c r="C154" s="73"/>
      <c r="D154" s="73"/>
      <c r="E154" s="73"/>
      <c r="F154" s="115" t="s">
        <v>50</v>
      </c>
      <c r="G154" s="115" t="s">
        <v>437</v>
      </c>
      <c r="H154" s="37">
        <v>1880</v>
      </c>
      <c r="I154" s="130"/>
      <c r="J154" s="130"/>
      <c r="K154" s="130"/>
      <c r="L154" s="130"/>
      <c r="M154" s="130"/>
      <c r="N154" s="74"/>
      <c r="O154" s="73"/>
      <c r="P154" s="42"/>
    </row>
    <row r="155" spans="1:16" x14ac:dyDescent="0.25">
      <c r="A155" s="73"/>
      <c r="B155" s="73"/>
      <c r="C155" s="73"/>
      <c r="D155" s="73"/>
      <c r="E155" s="73"/>
      <c r="F155" s="115" t="s">
        <v>51</v>
      </c>
      <c r="G155" s="115" t="s">
        <v>437</v>
      </c>
      <c r="H155" s="37">
        <v>75860</v>
      </c>
      <c r="I155" s="130"/>
      <c r="J155" s="130"/>
      <c r="K155" s="130"/>
      <c r="L155" s="130"/>
      <c r="M155" s="130"/>
      <c r="N155" s="74"/>
      <c r="O155" s="73"/>
      <c r="P155" s="42"/>
    </row>
    <row r="156" spans="1:16" x14ac:dyDescent="0.25">
      <c r="A156" s="73"/>
      <c r="B156" s="73"/>
      <c r="C156" s="73"/>
      <c r="D156" s="73"/>
      <c r="E156" s="73"/>
      <c r="F156" s="115" t="s">
        <v>52</v>
      </c>
      <c r="G156" s="115" t="s">
        <v>437</v>
      </c>
      <c r="H156" s="37">
        <v>67220</v>
      </c>
      <c r="I156" s="130"/>
      <c r="J156" s="130"/>
      <c r="K156" s="130"/>
      <c r="L156" s="130"/>
      <c r="M156" s="130"/>
      <c r="N156" s="74"/>
      <c r="O156" s="73"/>
      <c r="P156" s="42"/>
    </row>
    <row r="157" spans="1:16" x14ac:dyDescent="0.25">
      <c r="A157" s="73"/>
      <c r="B157" s="73"/>
      <c r="C157" s="73"/>
      <c r="D157" s="73"/>
      <c r="E157" s="73"/>
      <c r="F157" s="115" t="s">
        <v>53</v>
      </c>
      <c r="G157" s="115" t="s">
        <v>437</v>
      </c>
      <c r="H157" s="37">
        <v>75860</v>
      </c>
      <c r="I157" s="130"/>
      <c r="J157" s="130"/>
      <c r="K157" s="130"/>
      <c r="L157" s="130"/>
      <c r="M157" s="130"/>
      <c r="N157" s="74"/>
      <c r="O157" s="73"/>
      <c r="P157" s="42"/>
    </row>
    <row r="158" spans="1:16" x14ac:dyDescent="0.25">
      <c r="A158" s="73"/>
      <c r="B158" s="73"/>
      <c r="C158" s="73"/>
      <c r="D158" s="73"/>
      <c r="E158" s="73"/>
      <c r="F158" s="115" t="s">
        <v>54</v>
      </c>
      <c r="G158" s="115" t="s">
        <v>437</v>
      </c>
      <c r="H158" s="37">
        <v>700</v>
      </c>
      <c r="I158" s="130"/>
      <c r="J158" s="130"/>
      <c r="K158" s="130"/>
      <c r="L158" s="130"/>
      <c r="M158" s="130"/>
      <c r="N158" s="74"/>
      <c r="O158" s="73"/>
      <c r="P158" s="42"/>
    </row>
    <row r="159" spans="1:16" x14ac:dyDescent="0.25">
      <c r="A159" s="73"/>
      <c r="B159" s="73"/>
      <c r="C159" s="73"/>
      <c r="D159" s="73"/>
      <c r="E159" s="73"/>
      <c r="F159" s="115" t="s">
        <v>55</v>
      </c>
      <c r="G159" s="115" t="s">
        <v>437</v>
      </c>
      <c r="H159" s="37">
        <v>7940</v>
      </c>
      <c r="I159" s="130"/>
      <c r="J159" s="130"/>
      <c r="K159" s="130"/>
      <c r="L159" s="130"/>
      <c r="M159" s="130"/>
      <c r="N159" s="74"/>
      <c r="O159" s="73"/>
      <c r="P159" s="42"/>
    </row>
    <row r="160" spans="1:16" x14ac:dyDescent="0.25">
      <c r="A160" s="73"/>
      <c r="B160" s="73"/>
      <c r="C160" s="73"/>
      <c r="D160" s="73"/>
      <c r="E160" s="73"/>
      <c r="F160" s="115" t="s">
        <v>56</v>
      </c>
      <c r="G160" s="115" t="s">
        <v>437</v>
      </c>
      <c r="H160" s="37">
        <v>8360</v>
      </c>
      <c r="I160" s="130"/>
      <c r="J160" s="130"/>
      <c r="K160" s="130"/>
      <c r="L160" s="130"/>
      <c r="M160" s="130"/>
      <c r="N160" s="74"/>
      <c r="O160" s="73"/>
      <c r="P160" s="42"/>
    </row>
    <row r="161" spans="1:16" x14ac:dyDescent="0.25">
      <c r="A161" s="73"/>
      <c r="B161" s="73"/>
      <c r="C161" s="73"/>
      <c r="D161" s="73"/>
      <c r="E161" s="73"/>
      <c r="F161" s="115" t="s">
        <v>57</v>
      </c>
      <c r="G161" s="115" t="s">
        <v>437</v>
      </c>
      <c r="H161" s="37">
        <v>10380</v>
      </c>
      <c r="I161" s="130"/>
      <c r="J161" s="130"/>
      <c r="K161" s="130"/>
      <c r="L161" s="130"/>
      <c r="M161" s="130"/>
      <c r="N161" s="74"/>
      <c r="O161" s="73"/>
      <c r="P161" s="42"/>
    </row>
    <row r="162" spans="1:16" x14ac:dyDescent="0.25">
      <c r="A162" s="73"/>
      <c r="B162" s="73"/>
      <c r="C162" s="73"/>
      <c r="D162" s="73"/>
      <c r="E162" s="73"/>
      <c r="F162" s="115" t="s">
        <v>58</v>
      </c>
      <c r="G162" s="115" t="s">
        <v>437</v>
      </c>
      <c r="H162" s="37">
        <v>0</v>
      </c>
      <c r="I162" s="130"/>
      <c r="J162" s="130"/>
      <c r="K162" s="130"/>
      <c r="L162" s="130"/>
      <c r="M162" s="130"/>
      <c r="N162" s="74"/>
      <c r="O162" s="73"/>
      <c r="P162" s="42"/>
    </row>
    <row r="163" spans="1:16" x14ac:dyDescent="0.25">
      <c r="A163" s="73"/>
      <c r="B163" s="73"/>
      <c r="C163" s="73"/>
      <c r="D163" s="73"/>
      <c r="E163" s="73"/>
      <c r="F163" s="115" t="s">
        <v>59</v>
      </c>
      <c r="G163" s="115" t="s">
        <v>437</v>
      </c>
      <c r="H163" s="37">
        <v>0</v>
      </c>
      <c r="I163" s="130"/>
      <c r="J163" s="130"/>
      <c r="K163" s="130"/>
      <c r="L163" s="130"/>
      <c r="M163" s="130"/>
      <c r="N163" s="74"/>
      <c r="O163" s="73"/>
      <c r="P163" s="42"/>
    </row>
    <row r="164" spans="1:16" x14ac:dyDescent="0.25">
      <c r="A164" s="73"/>
      <c r="B164" s="73"/>
      <c r="C164" s="73"/>
      <c r="D164" s="73"/>
      <c r="E164" s="73"/>
      <c r="F164" s="115" t="s">
        <v>60</v>
      </c>
      <c r="G164" s="115" t="s">
        <v>437</v>
      </c>
      <c r="H164" s="37">
        <v>0</v>
      </c>
      <c r="I164" s="130"/>
      <c r="J164" s="130"/>
      <c r="K164" s="130"/>
      <c r="L164" s="130"/>
      <c r="M164" s="130"/>
      <c r="N164" s="74"/>
      <c r="O164" s="73"/>
      <c r="P164" s="42"/>
    </row>
    <row r="165" spans="1:16" x14ac:dyDescent="0.25">
      <c r="A165" s="73"/>
      <c r="B165" s="73"/>
      <c r="C165" s="73"/>
      <c r="D165" s="73"/>
      <c r="E165" s="73"/>
      <c r="F165" s="115" t="s">
        <v>61</v>
      </c>
      <c r="G165" s="115" t="s">
        <v>437</v>
      </c>
      <c r="H165" s="37">
        <v>20780</v>
      </c>
      <c r="I165" s="130"/>
      <c r="J165" s="130"/>
      <c r="K165" s="130"/>
      <c r="L165" s="130"/>
      <c r="M165" s="130"/>
      <c r="N165" s="74"/>
      <c r="O165" s="73"/>
      <c r="P165" s="42"/>
    </row>
    <row r="166" spans="1:16" x14ac:dyDescent="0.25">
      <c r="A166" s="73"/>
      <c r="B166" s="73"/>
      <c r="C166" s="73"/>
      <c r="D166" s="73"/>
      <c r="E166" s="73"/>
      <c r="F166" s="115" t="s">
        <v>62</v>
      </c>
      <c r="G166" s="115" t="s">
        <v>437</v>
      </c>
      <c r="H166" s="37">
        <v>0</v>
      </c>
      <c r="I166" s="130"/>
      <c r="J166" s="130"/>
      <c r="K166" s="130"/>
      <c r="L166" s="130"/>
      <c r="M166" s="130"/>
      <c r="N166" s="74"/>
      <c r="O166" s="73"/>
      <c r="P166" s="42"/>
    </row>
    <row r="167" spans="1:16" x14ac:dyDescent="0.25">
      <c r="A167" s="73"/>
      <c r="B167" s="73"/>
      <c r="C167" s="73"/>
      <c r="D167" s="73"/>
      <c r="E167" s="73"/>
      <c r="F167" s="115" t="s">
        <v>428</v>
      </c>
      <c r="G167" s="115" t="s">
        <v>437</v>
      </c>
      <c r="H167" s="37">
        <v>0</v>
      </c>
      <c r="I167" s="130"/>
      <c r="J167" s="130"/>
      <c r="K167" s="130"/>
      <c r="L167" s="130"/>
      <c r="M167" s="130"/>
      <c r="N167" s="74"/>
      <c r="O167" s="73"/>
      <c r="P167" s="42"/>
    </row>
    <row r="168" spans="1:16" x14ac:dyDescent="0.25">
      <c r="A168" s="73"/>
      <c r="B168" s="73"/>
      <c r="C168" s="73"/>
      <c r="D168" s="73"/>
      <c r="E168" s="73"/>
      <c r="F168" s="115" t="s">
        <v>63</v>
      </c>
      <c r="G168" s="115" t="s">
        <v>437</v>
      </c>
      <c r="H168" s="37">
        <v>0</v>
      </c>
      <c r="I168" s="130"/>
      <c r="J168" s="130"/>
      <c r="K168" s="130"/>
      <c r="L168" s="130"/>
      <c r="M168" s="130"/>
      <c r="N168" s="74"/>
      <c r="O168" s="73"/>
      <c r="P168" s="42"/>
    </row>
    <row r="169" spans="1:16" x14ac:dyDescent="0.25">
      <c r="A169" s="73"/>
      <c r="B169" s="73"/>
      <c r="C169" s="73"/>
      <c r="D169" s="73"/>
      <c r="E169" s="73"/>
      <c r="F169" s="115" t="s">
        <v>64</v>
      </c>
      <c r="G169" s="115" t="s">
        <v>437</v>
      </c>
      <c r="H169" s="37">
        <v>2000</v>
      </c>
      <c r="I169" s="130"/>
      <c r="J169" s="130"/>
      <c r="K169" s="130"/>
      <c r="L169" s="130"/>
      <c r="M169" s="130"/>
      <c r="N169" s="74"/>
      <c r="O169" s="73"/>
      <c r="P169" s="42"/>
    </row>
    <row r="170" spans="1:16" x14ac:dyDescent="0.25">
      <c r="A170" s="73"/>
      <c r="B170" s="73"/>
      <c r="C170" s="73"/>
      <c r="D170" s="73"/>
      <c r="E170" s="73"/>
      <c r="F170" s="115" t="s">
        <v>65</v>
      </c>
      <c r="G170" s="115" t="s">
        <v>437</v>
      </c>
      <c r="H170" s="37">
        <v>0</v>
      </c>
      <c r="I170" s="130"/>
      <c r="J170" s="130"/>
      <c r="K170" s="130"/>
      <c r="L170" s="130"/>
      <c r="M170" s="130"/>
      <c r="N170" s="74"/>
      <c r="O170" s="73"/>
      <c r="P170" s="42"/>
    </row>
    <row r="171" spans="1:16" x14ac:dyDescent="0.25">
      <c r="A171" s="73"/>
      <c r="B171" s="73"/>
      <c r="C171" s="73"/>
      <c r="D171" s="73"/>
      <c r="E171" s="73"/>
      <c r="F171" s="115" t="s">
        <v>66</v>
      </c>
      <c r="G171" s="115" t="s">
        <v>437</v>
      </c>
      <c r="H171" s="37">
        <v>84050</v>
      </c>
      <c r="I171" s="130"/>
      <c r="J171" s="130"/>
      <c r="K171" s="130"/>
      <c r="L171" s="130"/>
      <c r="M171" s="130"/>
      <c r="N171" s="74"/>
      <c r="O171" s="73"/>
      <c r="P171" s="42"/>
    </row>
    <row r="172" spans="1:16" x14ac:dyDescent="0.25">
      <c r="A172" s="73"/>
      <c r="B172" s="73"/>
      <c r="C172" s="73"/>
      <c r="D172" s="73"/>
      <c r="E172" s="73"/>
      <c r="F172" s="115" t="s">
        <v>67</v>
      </c>
      <c r="G172" s="115" t="s">
        <v>437</v>
      </c>
      <c r="H172" s="37">
        <v>0</v>
      </c>
      <c r="I172" s="130"/>
      <c r="J172" s="130"/>
      <c r="K172" s="130"/>
      <c r="L172" s="130"/>
      <c r="M172" s="130"/>
      <c r="N172" s="74"/>
      <c r="O172" s="73"/>
      <c r="P172" s="42"/>
    </row>
    <row r="173" spans="1:16" x14ac:dyDescent="0.25">
      <c r="A173" s="73"/>
      <c r="B173" s="73"/>
      <c r="C173" s="73"/>
      <c r="D173" s="73"/>
      <c r="E173" s="73"/>
      <c r="F173" s="115" t="s">
        <v>68</v>
      </c>
      <c r="G173" s="115" t="s">
        <v>437</v>
      </c>
      <c r="H173" s="37">
        <v>535000</v>
      </c>
      <c r="I173" s="130"/>
      <c r="J173" s="130"/>
      <c r="K173" s="130"/>
      <c r="L173" s="130"/>
      <c r="M173" s="130"/>
      <c r="N173" s="74"/>
      <c r="O173" s="73"/>
      <c r="P173" s="42"/>
    </row>
    <row r="174" spans="1:16" x14ac:dyDescent="0.25">
      <c r="A174" s="73"/>
      <c r="B174" s="73"/>
      <c r="C174" s="73"/>
      <c r="D174" s="73"/>
      <c r="E174" s="73"/>
      <c r="F174" s="115" t="s">
        <v>69</v>
      </c>
      <c r="G174" s="115" t="s">
        <v>437</v>
      </c>
      <c r="H174" s="37">
        <v>8230</v>
      </c>
      <c r="I174" s="130"/>
      <c r="J174" s="130"/>
      <c r="K174" s="130"/>
      <c r="L174" s="130"/>
      <c r="M174" s="130"/>
      <c r="N174" s="74"/>
      <c r="O174" s="73"/>
      <c r="P174" s="42"/>
    </row>
    <row r="175" spans="1:16" x14ac:dyDescent="0.25">
      <c r="A175" s="73"/>
      <c r="B175" s="73"/>
      <c r="C175" s="73"/>
      <c r="D175" s="73"/>
      <c r="E175" s="73"/>
      <c r="F175" s="115" t="s">
        <v>70</v>
      </c>
      <c r="G175" s="115" t="s">
        <v>437</v>
      </c>
      <c r="H175" s="37">
        <v>24460</v>
      </c>
      <c r="I175" s="130"/>
      <c r="J175" s="130"/>
      <c r="K175" s="130"/>
      <c r="L175" s="130"/>
      <c r="M175" s="130"/>
      <c r="N175" s="74"/>
      <c r="O175" s="73"/>
      <c r="P175" s="42"/>
    </row>
    <row r="176" spans="1:16" x14ac:dyDescent="0.25">
      <c r="A176" s="73"/>
      <c r="B176" s="73"/>
      <c r="C176" s="73"/>
      <c r="D176" s="73"/>
      <c r="E176" s="73"/>
      <c r="F176" s="115" t="s">
        <v>71</v>
      </c>
      <c r="G176" s="115" t="s">
        <v>437</v>
      </c>
      <c r="H176" s="37">
        <v>6830</v>
      </c>
      <c r="I176" s="130"/>
      <c r="J176" s="130"/>
      <c r="K176" s="130"/>
      <c r="L176" s="130"/>
      <c r="M176" s="130"/>
      <c r="N176" s="74"/>
      <c r="O176" s="73"/>
      <c r="P176" s="42"/>
    </row>
    <row r="177" spans="1:16" x14ac:dyDescent="0.25">
      <c r="A177" s="73"/>
      <c r="B177" s="73"/>
      <c r="C177" s="73"/>
      <c r="D177" s="73"/>
      <c r="E177" s="73"/>
      <c r="F177" s="115" t="s">
        <v>72</v>
      </c>
      <c r="G177" s="115" t="s">
        <v>437</v>
      </c>
      <c r="H177" s="37">
        <v>10020</v>
      </c>
      <c r="I177" s="130"/>
      <c r="J177" s="130"/>
      <c r="K177" s="130"/>
      <c r="L177" s="130"/>
      <c r="M177" s="130"/>
      <c r="N177" s="74"/>
      <c r="O177" s="73"/>
      <c r="P177" s="42"/>
    </row>
    <row r="178" spans="1:16" x14ac:dyDescent="0.25">
      <c r="A178" s="73"/>
      <c r="B178" s="73"/>
      <c r="C178" s="73"/>
      <c r="D178" s="73"/>
      <c r="E178" s="73"/>
      <c r="F178" s="115" t="s">
        <v>73</v>
      </c>
      <c r="G178" s="115" t="s">
        <v>437</v>
      </c>
      <c r="H178" s="37">
        <v>12150</v>
      </c>
      <c r="I178" s="130"/>
      <c r="J178" s="130"/>
      <c r="K178" s="130"/>
      <c r="L178" s="130"/>
      <c r="M178" s="130"/>
      <c r="N178" s="74"/>
      <c r="O178" s="73"/>
      <c r="P178" s="42"/>
    </row>
    <row r="179" spans="1:16" x14ac:dyDescent="0.25">
      <c r="A179" s="73"/>
      <c r="B179" s="73"/>
      <c r="C179" s="73"/>
      <c r="D179" s="73"/>
      <c r="E179" s="73"/>
      <c r="F179" s="115" t="s">
        <v>74</v>
      </c>
      <c r="G179" s="115" t="s">
        <v>437</v>
      </c>
      <c r="H179" s="37">
        <v>0</v>
      </c>
      <c r="I179" s="130"/>
      <c r="J179" s="130"/>
      <c r="K179" s="130"/>
      <c r="L179" s="130"/>
      <c r="M179" s="130"/>
      <c r="N179" s="74"/>
      <c r="O179" s="73"/>
      <c r="P179" s="42"/>
    </row>
    <row r="180" spans="1:16" x14ac:dyDescent="0.25">
      <c r="A180" s="73"/>
      <c r="B180" s="73"/>
      <c r="C180" s="73"/>
      <c r="D180" s="73"/>
      <c r="E180" s="73"/>
      <c r="F180" s="115" t="s">
        <v>75</v>
      </c>
      <c r="G180" s="115" t="s">
        <v>437</v>
      </c>
      <c r="H180" s="37">
        <v>0</v>
      </c>
      <c r="I180" s="130"/>
      <c r="J180" s="130"/>
      <c r="K180" s="130"/>
      <c r="L180" s="130"/>
      <c r="M180" s="130"/>
      <c r="N180" s="74"/>
      <c r="O180" s="73"/>
      <c r="P180" s="42"/>
    </row>
    <row r="181" spans="1:16" x14ac:dyDescent="0.25">
      <c r="A181" s="73"/>
      <c r="B181" s="73"/>
      <c r="C181" s="73"/>
      <c r="D181" s="73"/>
      <c r="E181" s="73"/>
      <c r="F181" s="115" t="s">
        <v>76</v>
      </c>
      <c r="G181" s="115" t="s">
        <v>437</v>
      </c>
      <c r="H181" s="37">
        <v>0</v>
      </c>
      <c r="I181" s="130"/>
      <c r="J181" s="130"/>
      <c r="K181" s="130"/>
      <c r="L181" s="130"/>
      <c r="M181" s="130"/>
      <c r="N181" s="74"/>
      <c r="O181" s="73"/>
      <c r="P181" s="42"/>
    </row>
    <row r="182" spans="1:16" x14ac:dyDescent="0.25">
      <c r="A182" s="73"/>
      <c r="B182" s="73"/>
      <c r="C182" s="73"/>
      <c r="D182" s="73"/>
      <c r="E182" s="73"/>
      <c r="F182" s="115" t="s">
        <v>77</v>
      </c>
      <c r="G182" s="115" t="s">
        <v>437</v>
      </c>
      <c r="H182" s="37">
        <v>0</v>
      </c>
      <c r="I182" s="130"/>
      <c r="J182" s="130"/>
      <c r="K182" s="130"/>
      <c r="L182" s="130"/>
      <c r="M182" s="130"/>
      <c r="N182" s="74"/>
      <c r="O182" s="73"/>
      <c r="P182" s="42"/>
    </row>
    <row r="183" spans="1:16" x14ac:dyDescent="0.25">
      <c r="A183" s="73"/>
      <c r="B183" s="73"/>
      <c r="C183" s="73"/>
      <c r="D183" s="73"/>
      <c r="E183" s="73"/>
      <c r="F183" s="115" t="s">
        <v>78</v>
      </c>
      <c r="G183" s="115" t="s">
        <v>437</v>
      </c>
      <c r="H183" s="37">
        <v>0</v>
      </c>
      <c r="I183" s="130"/>
      <c r="J183" s="130"/>
      <c r="K183" s="130"/>
      <c r="L183" s="130"/>
      <c r="M183" s="130"/>
      <c r="N183" s="74"/>
      <c r="O183" s="73"/>
      <c r="P183" s="42"/>
    </row>
    <row r="184" spans="1:16" x14ac:dyDescent="0.25">
      <c r="A184" s="73"/>
      <c r="B184" s="73"/>
      <c r="C184" s="73"/>
      <c r="D184" s="73"/>
      <c r="E184" s="73"/>
      <c r="F184" s="115" t="s">
        <v>79</v>
      </c>
      <c r="G184" s="115" t="s">
        <v>437</v>
      </c>
      <c r="H184" s="37">
        <v>0</v>
      </c>
      <c r="I184" s="130"/>
      <c r="J184" s="130"/>
      <c r="K184" s="130"/>
      <c r="L184" s="130"/>
      <c r="M184" s="130"/>
      <c r="N184" s="74"/>
      <c r="O184" s="73"/>
      <c r="P184" s="42"/>
    </row>
    <row r="185" spans="1:16" x14ac:dyDescent="0.25">
      <c r="A185" s="73"/>
      <c r="B185" s="73"/>
      <c r="C185" s="73"/>
      <c r="D185" s="73"/>
      <c r="E185" s="73"/>
      <c r="F185" s="115" t="s">
        <v>80</v>
      </c>
      <c r="G185" s="115" t="s">
        <v>437</v>
      </c>
      <c r="H185" s="37">
        <v>0</v>
      </c>
      <c r="I185" s="130"/>
      <c r="J185" s="130"/>
      <c r="K185" s="130"/>
      <c r="L185" s="130"/>
      <c r="M185" s="130"/>
      <c r="N185" s="74"/>
      <c r="O185" s="73"/>
      <c r="P185" s="42"/>
    </row>
    <row r="186" spans="1:16" x14ac:dyDescent="0.25">
      <c r="A186" s="73"/>
      <c r="B186" s="73"/>
      <c r="C186" s="73"/>
      <c r="D186" s="73"/>
      <c r="E186" s="73"/>
      <c r="F186" s="115" t="s">
        <v>81</v>
      </c>
      <c r="G186" s="115" t="s">
        <v>437</v>
      </c>
      <c r="H186" s="37">
        <v>0</v>
      </c>
      <c r="I186" s="130"/>
      <c r="J186" s="130"/>
      <c r="K186" s="130"/>
      <c r="L186" s="130"/>
      <c r="M186" s="130"/>
      <c r="N186" s="74"/>
      <c r="O186" s="73"/>
      <c r="P186" s="42"/>
    </row>
    <row r="187" spans="1:16" x14ac:dyDescent="0.25">
      <c r="A187" s="73"/>
      <c r="B187" s="73"/>
      <c r="C187" s="73"/>
      <c r="D187" s="73"/>
      <c r="E187" s="73"/>
      <c r="F187" s="115" t="s">
        <v>82</v>
      </c>
      <c r="G187" s="115" t="s">
        <v>437</v>
      </c>
      <c r="H187" s="37">
        <v>0</v>
      </c>
      <c r="I187" s="130"/>
      <c r="J187" s="130"/>
      <c r="K187" s="130"/>
      <c r="L187" s="130"/>
      <c r="M187" s="130"/>
      <c r="N187" s="74"/>
      <c r="O187" s="73"/>
      <c r="P187" s="42"/>
    </row>
    <row r="188" spans="1:16" x14ac:dyDescent="0.25">
      <c r="A188" s="73"/>
      <c r="B188" s="73"/>
      <c r="C188" s="73"/>
      <c r="D188" s="73"/>
      <c r="E188" s="73"/>
      <c r="F188" s="115" t="s">
        <v>83</v>
      </c>
      <c r="G188" s="115" t="s">
        <v>437</v>
      </c>
      <c r="H188" s="37">
        <v>1740</v>
      </c>
      <c r="I188" s="130"/>
      <c r="J188" s="130"/>
      <c r="K188" s="130"/>
      <c r="L188" s="130"/>
      <c r="M188" s="130"/>
      <c r="N188" s="74"/>
      <c r="O188" s="73"/>
      <c r="P188" s="42"/>
    </row>
    <row r="189" spans="1:16" x14ac:dyDescent="0.25">
      <c r="A189" s="73"/>
      <c r="B189" s="73"/>
      <c r="C189" s="73"/>
      <c r="D189" s="73"/>
      <c r="E189" s="73"/>
      <c r="F189" s="115" t="s">
        <v>84</v>
      </c>
      <c r="G189" s="115" t="s">
        <v>437</v>
      </c>
      <c r="H189" s="37">
        <v>12740</v>
      </c>
      <c r="I189" s="130"/>
      <c r="J189" s="130"/>
      <c r="K189" s="130"/>
      <c r="L189" s="130"/>
      <c r="M189" s="130"/>
      <c r="N189" s="74"/>
      <c r="O189" s="73"/>
      <c r="P189" s="42"/>
    </row>
    <row r="190" spans="1:16" x14ac:dyDescent="0.25">
      <c r="A190" s="73"/>
      <c r="B190" s="73"/>
      <c r="C190" s="73"/>
      <c r="D190" s="73"/>
      <c r="E190" s="73"/>
      <c r="F190" s="115" t="s">
        <v>85</v>
      </c>
      <c r="G190" s="115" t="s">
        <v>437</v>
      </c>
      <c r="H190" s="37">
        <v>0</v>
      </c>
      <c r="I190" s="130"/>
      <c r="J190" s="130"/>
      <c r="K190" s="130"/>
      <c r="L190" s="130"/>
      <c r="M190" s="130"/>
      <c r="N190" s="74"/>
      <c r="O190" s="73"/>
      <c r="P190" s="42"/>
    </row>
    <row r="191" spans="1:16" x14ac:dyDescent="0.25">
      <c r="A191" s="73"/>
      <c r="B191" s="73"/>
      <c r="C191" s="73"/>
      <c r="D191" s="73"/>
      <c r="E191" s="73"/>
      <c r="F191" s="115" t="s">
        <v>86</v>
      </c>
      <c r="G191" s="115" t="s">
        <v>437</v>
      </c>
      <c r="H191" s="37">
        <v>0</v>
      </c>
      <c r="I191" s="130"/>
      <c r="J191" s="130"/>
      <c r="K191" s="130"/>
      <c r="L191" s="130"/>
      <c r="M191" s="130"/>
      <c r="N191" s="74"/>
      <c r="O191" s="73"/>
      <c r="P191" s="42"/>
    </row>
    <row r="192" spans="1:16" x14ac:dyDescent="0.25">
      <c r="A192" s="73"/>
      <c r="B192" s="73"/>
      <c r="C192" s="73"/>
      <c r="D192" s="73"/>
      <c r="E192" s="73"/>
      <c r="F192" s="115" t="s">
        <v>87</v>
      </c>
      <c r="G192" s="115" t="s">
        <v>437</v>
      </c>
      <c r="H192" s="37">
        <v>26870</v>
      </c>
      <c r="I192" s="130"/>
      <c r="J192" s="130"/>
      <c r="K192" s="130"/>
      <c r="L192" s="130"/>
      <c r="M192" s="130"/>
      <c r="N192" s="74"/>
      <c r="O192" s="73"/>
      <c r="P192" s="42"/>
    </row>
    <row r="193" spans="1:16" x14ac:dyDescent="0.25">
      <c r="A193" s="73"/>
      <c r="B193" s="73"/>
      <c r="C193" s="73"/>
      <c r="D193" s="73"/>
      <c r="E193" s="73"/>
      <c r="F193" s="115" t="s">
        <v>88</v>
      </c>
      <c r="G193" s="115" t="s">
        <v>437</v>
      </c>
      <c r="H193" s="37">
        <v>29820</v>
      </c>
      <c r="I193" s="130"/>
      <c r="J193" s="130"/>
      <c r="K193" s="130"/>
      <c r="L193" s="130"/>
      <c r="M193" s="130"/>
      <c r="N193" s="74"/>
      <c r="O193" s="73"/>
      <c r="P193" s="42"/>
    </row>
    <row r="194" spans="1:16" x14ac:dyDescent="0.25">
      <c r="A194" s="73"/>
      <c r="B194" s="73"/>
      <c r="C194" s="73"/>
      <c r="D194" s="73"/>
      <c r="E194" s="73"/>
      <c r="F194" s="115" t="s">
        <v>89</v>
      </c>
      <c r="G194" s="115" t="s">
        <v>437</v>
      </c>
      <c r="H194" s="37">
        <v>0</v>
      </c>
      <c r="I194" s="130"/>
      <c r="J194" s="130"/>
      <c r="K194" s="130"/>
      <c r="L194" s="130"/>
      <c r="M194" s="130"/>
      <c r="N194" s="74"/>
      <c r="O194" s="73"/>
      <c r="P194" s="42"/>
    </row>
    <row r="195" spans="1:16" x14ac:dyDescent="0.25">
      <c r="A195" s="73"/>
      <c r="B195" s="73"/>
      <c r="C195" s="73"/>
      <c r="D195" s="73"/>
      <c r="E195" s="73"/>
      <c r="F195" s="115" t="s">
        <v>90</v>
      </c>
      <c r="G195" s="115" t="s">
        <v>437</v>
      </c>
      <c r="H195" s="37">
        <v>0</v>
      </c>
      <c r="I195" s="130"/>
      <c r="J195" s="130"/>
      <c r="K195" s="130"/>
      <c r="L195" s="130"/>
      <c r="M195" s="130"/>
      <c r="N195" s="74"/>
      <c r="O195" s="73"/>
      <c r="P195" s="42"/>
    </row>
    <row r="196" spans="1:16" x14ac:dyDescent="0.25">
      <c r="A196" s="73"/>
      <c r="B196" s="73"/>
      <c r="C196" s="73"/>
      <c r="D196" s="73"/>
      <c r="E196" s="73"/>
      <c r="F196" s="115" t="s">
        <v>91</v>
      </c>
      <c r="G196" s="115" t="s">
        <v>437</v>
      </c>
      <c r="H196" s="37">
        <v>2560</v>
      </c>
      <c r="I196" s="130"/>
      <c r="J196" s="130"/>
      <c r="K196" s="130"/>
      <c r="L196" s="130"/>
      <c r="M196" s="130"/>
      <c r="N196" s="74"/>
      <c r="O196" s="73"/>
      <c r="P196" s="42"/>
    </row>
    <row r="197" spans="1:16" x14ac:dyDescent="0.25">
      <c r="A197" s="73"/>
      <c r="B197" s="73"/>
      <c r="C197" s="73"/>
      <c r="D197" s="73"/>
      <c r="E197" s="73"/>
      <c r="F197" s="115" t="s">
        <v>92</v>
      </c>
      <c r="G197" s="115" t="s">
        <v>437</v>
      </c>
      <c r="H197" s="37">
        <v>45140</v>
      </c>
      <c r="I197" s="130"/>
      <c r="J197" s="130"/>
      <c r="K197" s="130"/>
      <c r="L197" s="130"/>
      <c r="M197" s="130"/>
      <c r="N197" s="74"/>
      <c r="O197" s="73"/>
      <c r="P197" s="42"/>
    </row>
    <row r="198" spans="1:16" x14ac:dyDescent="0.25">
      <c r="A198" s="73"/>
      <c r="B198" s="73"/>
      <c r="C198" s="73"/>
      <c r="D198" s="73"/>
      <c r="E198" s="73"/>
      <c r="F198" s="115" t="s">
        <v>93</v>
      </c>
      <c r="G198" s="115" t="s">
        <v>437</v>
      </c>
      <c r="H198" s="37">
        <v>0</v>
      </c>
      <c r="I198" s="130"/>
      <c r="J198" s="130"/>
      <c r="K198" s="130"/>
      <c r="L198" s="130"/>
      <c r="M198" s="130"/>
      <c r="N198" s="74"/>
      <c r="O198" s="73"/>
      <c r="P198" s="42"/>
    </row>
    <row r="199" spans="1:16" x14ac:dyDescent="0.25">
      <c r="A199" s="73"/>
      <c r="B199" s="73"/>
      <c r="C199" s="73"/>
      <c r="D199" s="73"/>
      <c r="E199" s="73"/>
      <c r="F199" s="115" t="s">
        <v>94</v>
      </c>
      <c r="G199" s="115" t="s">
        <v>437</v>
      </c>
      <c r="H199" s="37">
        <v>0</v>
      </c>
      <c r="I199" s="130"/>
      <c r="J199" s="130"/>
      <c r="K199" s="130"/>
      <c r="L199" s="130"/>
      <c r="M199" s="130"/>
      <c r="N199" s="74"/>
      <c r="O199" s="73"/>
      <c r="P199" s="42"/>
    </row>
    <row r="200" spans="1:16" x14ac:dyDescent="0.25">
      <c r="A200" s="73"/>
      <c r="B200" s="73"/>
      <c r="C200" s="73"/>
      <c r="D200" s="73"/>
      <c r="E200" s="73"/>
      <c r="F200" s="115" t="s">
        <v>95</v>
      </c>
      <c r="G200" s="115" t="s">
        <v>437</v>
      </c>
      <c r="H200" s="37">
        <v>172860</v>
      </c>
      <c r="I200" s="130"/>
      <c r="J200" s="130"/>
      <c r="K200" s="130"/>
      <c r="L200" s="130"/>
      <c r="M200" s="130"/>
      <c r="N200" s="74"/>
      <c r="O200" s="73"/>
      <c r="P200" s="42"/>
    </row>
    <row r="201" spans="1:16" x14ac:dyDescent="0.25">
      <c r="A201" s="73"/>
      <c r="B201" s="73"/>
      <c r="C201" s="73"/>
      <c r="D201" s="73"/>
      <c r="E201" s="73"/>
      <c r="F201" s="115" t="s">
        <v>96</v>
      </c>
      <c r="G201" s="115" t="s">
        <v>437</v>
      </c>
      <c r="H201" s="37">
        <v>173080</v>
      </c>
      <c r="I201" s="130"/>
      <c r="J201" s="130"/>
      <c r="K201" s="130"/>
      <c r="L201" s="130"/>
      <c r="M201" s="130"/>
      <c r="N201" s="74"/>
      <c r="O201" s="73"/>
      <c r="P201" s="42"/>
    </row>
    <row r="202" spans="1:16" x14ac:dyDescent="0.25">
      <c r="A202" s="73"/>
      <c r="B202" s="73"/>
      <c r="C202" s="73"/>
      <c r="D202" s="73"/>
      <c r="E202" s="73"/>
      <c r="F202" s="115" t="s">
        <v>97</v>
      </c>
      <c r="G202" s="115" t="s">
        <v>437</v>
      </c>
      <c r="H202" s="37">
        <v>172810</v>
      </c>
      <c r="I202" s="130"/>
      <c r="J202" s="130"/>
      <c r="K202" s="130"/>
      <c r="L202" s="130"/>
      <c r="M202" s="130"/>
      <c r="N202" s="74"/>
      <c r="O202" s="73"/>
      <c r="P202" s="42"/>
    </row>
    <row r="203" spans="1:16" x14ac:dyDescent="0.25">
      <c r="A203" s="73"/>
      <c r="B203" s="73"/>
      <c r="C203" s="73"/>
      <c r="D203" s="73"/>
      <c r="E203" s="73"/>
      <c r="F203" s="115" t="s">
        <v>98</v>
      </c>
      <c r="G203" s="115" t="s">
        <v>437</v>
      </c>
      <c r="H203" s="37">
        <v>0</v>
      </c>
      <c r="I203" s="130"/>
      <c r="J203" s="130"/>
      <c r="K203" s="130"/>
      <c r="L203" s="130"/>
      <c r="M203" s="130"/>
      <c r="N203" s="74"/>
      <c r="O203" s="73"/>
      <c r="P203" s="42"/>
    </row>
    <row r="204" spans="1:16" x14ac:dyDescent="0.25">
      <c r="A204" s="73"/>
      <c r="B204" s="73"/>
      <c r="C204" s="73"/>
      <c r="D204" s="73"/>
      <c r="E204" s="73"/>
      <c r="F204" s="115" t="s">
        <v>99</v>
      </c>
      <c r="G204" s="115" t="s">
        <v>437</v>
      </c>
      <c r="H204" s="37">
        <v>0</v>
      </c>
      <c r="I204" s="130"/>
      <c r="J204" s="130"/>
      <c r="K204" s="130"/>
      <c r="L204" s="130"/>
      <c r="M204" s="130"/>
      <c r="N204" s="74"/>
      <c r="O204" s="73"/>
      <c r="P204" s="42"/>
    </row>
    <row r="205" spans="1:16" x14ac:dyDescent="0.25">
      <c r="A205" s="73"/>
      <c r="B205" s="73"/>
      <c r="C205" s="73"/>
      <c r="D205" s="73"/>
      <c r="E205" s="73"/>
      <c r="F205" s="115" t="s">
        <v>100</v>
      </c>
      <c r="G205" s="115" t="s">
        <v>437</v>
      </c>
      <c r="H205" s="37">
        <v>0</v>
      </c>
      <c r="I205" s="130"/>
      <c r="J205" s="130"/>
      <c r="K205" s="130"/>
      <c r="L205" s="130"/>
      <c r="M205" s="130"/>
      <c r="N205" s="74"/>
      <c r="O205" s="73"/>
      <c r="P205" s="42"/>
    </row>
    <row r="206" spans="1:16" x14ac:dyDescent="0.25">
      <c r="A206" s="73"/>
      <c r="B206" s="73"/>
      <c r="C206" s="73"/>
      <c r="D206" s="73"/>
      <c r="E206" s="73"/>
      <c r="F206" s="115" t="s">
        <v>101</v>
      </c>
      <c r="G206" s="115" t="s">
        <v>437</v>
      </c>
      <c r="H206" s="37">
        <v>1136020</v>
      </c>
      <c r="I206" s="130"/>
      <c r="J206" s="130"/>
      <c r="K206" s="130"/>
      <c r="L206" s="130"/>
      <c r="M206" s="130"/>
      <c r="N206" s="74"/>
      <c r="O206" s="73"/>
      <c r="P206" s="42"/>
    </row>
    <row r="207" spans="1:16" x14ac:dyDescent="0.25">
      <c r="A207" s="73"/>
      <c r="B207" s="73"/>
      <c r="C207" s="73"/>
      <c r="D207" s="73"/>
      <c r="E207" s="73"/>
      <c r="F207" s="115" t="s">
        <v>102</v>
      </c>
      <c r="G207" s="115" t="s">
        <v>437</v>
      </c>
      <c r="H207" s="37">
        <v>66590</v>
      </c>
      <c r="I207" s="130"/>
      <c r="J207" s="130"/>
      <c r="K207" s="130"/>
      <c r="L207" s="130"/>
      <c r="M207" s="130"/>
      <c r="N207" s="74"/>
      <c r="O207" s="73"/>
      <c r="P207" s="42"/>
    </row>
    <row r="208" spans="1:16" x14ac:dyDescent="0.25">
      <c r="A208" s="73"/>
      <c r="B208" s="73"/>
      <c r="C208" s="73"/>
      <c r="D208" s="73"/>
      <c r="E208" s="73"/>
      <c r="F208" s="115" t="s">
        <v>103</v>
      </c>
      <c r="G208" s="115" t="s">
        <v>437</v>
      </c>
      <c r="H208" s="37">
        <v>51190</v>
      </c>
      <c r="I208" s="130"/>
      <c r="J208" s="130"/>
      <c r="K208" s="130"/>
      <c r="L208" s="130"/>
      <c r="M208" s="130"/>
      <c r="N208" s="74"/>
      <c r="O208" s="73"/>
      <c r="P208" s="42"/>
    </row>
    <row r="209" spans="1:16" x14ac:dyDescent="0.25">
      <c r="A209" s="73"/>
      <c r="B209" s="73"/>
      <c r="C209" s="73"/>
      <c r="D209" s="73"/>
      <c r="E209" s="73"/>
      <c r="F209" s="115" t="s">
        <v>104</v>
      </c>
      <c r="G209" s="115" t="s">
        <v>437</v>
      </c>
      <c r="H209" s="37">
        <v>33120</v>
      </c>
      <c r="I209" s="130"/>
      <c r="J209" s="130"/>
      <c r="K209" s="130"/>
      <c r="L209" s="130"/>
      <c r="M209" s="130"/>
      <c r="N209" s="74"/>
      <c r="O209" s="73"/>
      <c r="P209" s="42"/>
    </row>
    <row r="210" spans="1:16" x14ac:dyDescent="0.25">
      <c r="A210" s="73"/>
      <c r="B210" s="73"/>
      <c r="C210" s="73"/>
      <c r="D210" s="73"/>
      <c r="E210" s="73"/>
      <c r="F210" s="115" t="s">
        <v>105</v>
      </c>
      <c r="G210" s="115" t="s">
        <v>437</v>
      </c>
      <c r="H210" s="37">
        <v>0</v>
      </c>
      <c r="I210" s="130"/>
      <c r="J210" s="130"/>
      <c r="K210" s="130"/>
      <c r="L210" s="130"/>
      <c r="M210" s="130"/>
      <c r="N210" s="74"/>
      <c r="O210" s="73"/>
      <c r="P210" s="42"/>
    </row>
    <row r="211" spans="1:16" x14ac:dyDescent="0.25">
      <c r="A211" s="73"/>
      <c r="B211" s="73"/>
      <c r="C211" s="73"/>
      <c r="D211" s="73"/>
      <c r="E211" s="73"/>
      <c r="F211" s="115" t="s">
        <v>106</v>
      </c>
      <c r="G211" s="115" t="s">
        <v>437</v>
      </c>
      <c r="H211" s="37">
        <v>0</v>
      </c>
      <c r="I211" s="130"/>
      <c r="J211" s="130"/>
      <c r="K211" s="130"/>
      <c r="L211" s="130"/>
      <c r="M211" s="130"/>
      <c r="N211" s="74"/>
      <c r="O211" s="73"/>
      <c r="P211" s="42"/>
    </row>
    <row r="212" spans="1:16" x14ac:dyDescent="0.25">
      <c r="A212" s="73"/>
      <c r="B212" s="73"/>
      <c r="C212" s="73"/>
      <c r="D212" s="73"/>
      <c r="E212" s="73"/>
      <c r="F212" s="115" t="s">
        <v>107</v>
      </c>
      <c r="G212" s="115" t="s">
        <v>437</v>
      </c>
      <c r="H212" s="37">
        <v>0</v>
      </c>
      <c r="I212" s="130"/>
      <c r="J212" s="130"/>
      <c r="K212" s="130"/>
      <c r="L212" s="130"/>
      <c r="M212" s="130"/>
      <c r="N212" s="74"/>
      <c r="O212" s="73"/>
      <c r="P212" s="42"/>
    </row>
    <row r="213" spans="1:16" x14ac:dyDescent="0.25">
      <c r="A213" s="73"/>
      <c r="B213" s="73"/>
      <c r="C213" s="73"/>
      <c r="D213" s="73"/>
      <c r="E213" s="73"/>
      <c r="F213" s="115" t="s">
        <v>108</v>
      </c>
      <c r="G213" s="115" t="s">
        <v>437</v>
      </c>
      <c r="H213" s="37">
        <v>0</v>
      </c>
      <c r="I213" s="130"/>
      <c r="J213" s="130"/>
      <c r="K213" s="130"/>
      <c r="L213" s="130"/>
      <c r="M213" s="130"/>
      <c r="N213" s="74"/>
      <c r="O213" s="73"/>
      <c r="P213" s="42"/>
    </row>
    <row r="214" spans="1:16" x14ac:dyDescent="0.25">
      <c r="A214" s="73"/>
      <c r="B214" s="73"/>
      <c r="C214" s="73"/>
      <c r="D214" s="73"/>
      <c r="E214" s="73"/>
      <c r="F214" s="115" t="s">
        <v>109</v>
      </c>
      <c r="G214" s="115" t="s">
        <v>437</v>
      </c>
      <c r="H214" s="37">
        <v>0</v>
      </c>
      <c r="I214" s="130"/>
      <c r="J214" s="130"/>
      <c r="K214" s="130"/>
      <c r="L214" s="130"/>
      <c r="M214" s="130"/>
      <c r="N214" s="74"/>
      <c r="O214" s="73"/>
      <c r="P214" s="42"/>
    </row>
    <row r="215" spans="1:16" x14ac:dyDescent="0.25">
      <c r="A215" s="73"/>
      <c r="B215" s="73"/>
      <c r="C215" s="73"/>
      <c r="D215" s="73"/>
      <c r="E215" s="73"/>
      <c r="F215" s="115" t="s">
        <v>110</v>
      </c>
      <c r="G215" s="115" t="s">
        <v>437</v>
      </c>
      <c r="H215" s="37">
        <v>0</v>
      </c>
      <c r="I215" s="130"/>
      <c r="J215" s="130"/>
      <c r="K215" s="130"/>
      <c r="L215" s="130"/>
      <c r="M215" s="130"/>
      <c r="N215" s="74"/>
      <c r="O215" s="73"/>
      <c r="P215" s="42"/>
    </row>
    <row r="216" spans="1:16" x14ac:dyDescent="0.25">
      <c r="A216" s="73"/>
      <c r="B216" s="73"/>
      <c r="C216" s="73"/>
      <c r="D216" s="73"/>
      <c r="E216" s="73"/>
      <c r="F216" s="115" t="s">
        <v>111</v>
      </c>
      <c r="G216" s="115" t="s">
        <v>437</v>
      </c>
      <c r="H216" s="37">
        <v>261250</v>
      </c>
      <c r="I216" s="130"/>
      <c r="J216" s="130"/>
      <c r="K216" s="130"/>
      <c r="L216" s="130"/>
      <c r="M216" s="130"/>
      <c r="N216" s="74"/>
      <c r="O216" s="73"/>
      <c r="P216" s="42"/>
    </row>
    <row r="217" spans="1:16" x14ac:dyDescent="0.25">
      <c r="A217" s="73"/>
      <c r="B217" s="73"/>
      <c r="C217" s="73"/>
      <c r="D217" s="73"/>
      <c r="E217" s="73"/>
      <c r="F217" s="115" t="s">
        <v>112</v>
      </c>
      <c r="G217" s="115" t="s">
        <v>437</v>
      </c>
      <c r="H217" s="37">
        <v>0</v>
      </c>
      <c r="I217" s="130"/>
      <c r="J217" s="130"/>
      <c r="K217" s="130"/>
      <c r="L217" s="130"/>
      <c r="M217" s="130"/>
      <c r="N217" s="74"/>
      <c r="O217" s="73"/>
      <c r="P217" s="42"/>
    </row>
    <row r="218" spans="1:16" x14ac:dyDescent="0.25">
      <c r="A218" s="73"/>
      <c r="B218" s="73"/>
      <c r="C218" s="73"/>
      <c r="D218" s="73"/>
      <c r="E218" s="73"/>
      <c r="F218" s="115" t="s">
        <v>113</v>
      </c>
      <c r="G218" s="115" t="s">
        <v>437</v>
      </c>
      <c r="H218" s="37">
        <v>0</v>
      </c>
      <c r="I218" s="130"/>
      <c r="J218" s="130"/>
      <c r="K218" s="130"/>
      <c r="L218" s="130"/>
      <c r="M218" s="130"/>
      <c r="N218" s="74"/>
      <c r="O218" s="73"/>
      <c r="P218" s="42"/>
    </row>
    <row r="219" spans="1:16" x14ac:dyDescent="0.25">
      <c r="A219" s="73"/>
      <c r="B219" s="73"/>
      <c r="C219" s="73"/>
      <c r="D219" s="73"/>
      <c r="E219" s="73"/>
      <c r="F219" s="115" t="s">
        <v>114</v>
      </c>
      <c r="G219" s="115" t="s">
        <v>437</v>
      </c>
      <c r="H219" s="37">
        <v>0</v>
      </c>
      <c r="I219" s="130"/>
      <c r="J219" s="130"/>
      <c r="K219" s="130"/>
      <c r="L219" s="130"/>
      <c r="M219" s="130"/>
      <c r="N219" s="74"/>
      <c r="O219" s="73"/>
      <c r="P219" s="42"/>
    </row>
    <row r="220" spans="1:16" x14ac:dyDescent="0.25">
      <c r="A220" s="73"/>
      <c r="B220" s="73"/>
      <c r="C220" s="73"/>
      <c r="D220" s="73"/>
      <c r="E220" s="73"/>
      <c r="F220" s="115" t="s">
        <v>115</v>
      </c>
      <c r="G220" s="115" t="s">
        <v>437</v>
      </c>
      <c r="H220" s="37">
        <v>59210</v>
      </c>
      <c r="I220" s="130"/>
      <c r="J220" s="130"/>
      <c r="K220" s="130"/>
      <c r="L220" s="130"/>
      <c r="M220" s="130"/>
      <c r="N220" s="74"/>
      <c r="O220" s="73"/>
      <c r="P220" s="42"/>
    </row>
    <row r="221" spans="1:16" x14ac:dyDescent="0.25">
      <c r="A221" s="73"/>
      <c r="B221" s="73"/>
      <c r="C221" s="73"/>
      <c r="D221" s="73"/>
      <c r="E221" s="73"/>
      <c r="F221" s="115" t="s">
        <v>116</v>
      </c>
      <c r="G221" s="115" t="s">
        <v>437</v>
      </c>
      <c r="H221" s="37">
        <v>53460</v>
      </c>
      <c r="I221" s="130"/>
      <c r="J221" s="130"/>
      <c r="K221" s="130"/>
      <c r="L221" s="130"/>
      <c r="M221" s="130"/>
      <c r="N221" s="74"/>
      <c r="O221" s="73"/>
      <c r="P221" s="42"/>
    </row>
    <row r="222" spans="1:16" x14ac:dyDescent="0.25">
      <c r="A222" s="73"/>
      <c r="B222" s="73"/>
      <c r="C222" s="73"/>
      <c r="D222" s="73"/>
      <c r="E222" s="73"/>
      <c r="F222" s="115" t="s">
        <v>117</v>
      </c>
      <c r="G222" s="115" t="s">
        <v>437</v>
      </c>
      <c r="H222" s="37">
        <v>3550</v>
      </c>
      <c r="I222" s="130"/>
      <c r="J222" s="130"/>
      <c r="K222" s="130"/>
      <c r="L222" s="130"/>
      <c r="M222" s="130"/>
      <c r="N222" s="74"/>
      <c r="O222" s="73"/>
      <c r="P222" s="42"/>
    </row>
    <row r="223" spans="1:16" x14ac:dyDescent="0.25">
      <c r="A223" s="73"/>
      <c r="B223" s="73"/>
      <c r="C223" s="73"/>
      <c r="D223" s="73"/>
      <c r="E223" s="73"/>
      <c r="F223" s="115" t="s">
        <v>118</v>
      </c>
      <c r="G223" s="115" t="s">
        <v>437</v>
      </c>
      <c r="H223" s="37">
        <v>98340</v>
      </c>
      <c r="I223" s="130"/>
      <c r="J223" s="130"/>
      <c r="K223" s="130"/>
      <c r="L223" s="130"/>
      <c r="M223" s="130"/>
      <c r="N223" s="74"/>
      <c r="O223" s="73"/>
      <c r="P223" s="42"/>
    </row>
    <row r="224" spans="1:16" x14ac:dyDescent="0.25">
      <c r="A224" s="73"/>
      <c r="B224" s="73"/>
      <c r="C224" s="73"/>
      <c r="D224" s="73"/>
      <c r="E224" s="73"/>
      <c r="F224" s="115" t="s">
        <v>119</v>
      </c>
      <c r="G224" s="115" t="s">
        <v>437</v>
      </c>
      <c r="H224" s="37">
        <v>3740</v>
      </c>
      <c r="I224" s="130"/>
      <c r="J224" s="130"/>
      <c r="K224" s="130"/>
      <c r="L224" s="130"/>
      <c r="M224" s="130"/>
      <c r="N224" s="74"/>
      <c r="O224" s="73"/>
      <c r="P224" s="42"/>
    </row>
    <row r="225" spans="1:16" x14ac:dyDescent="0.25">
      <c r="A225" s="73"/>
      <c r="B225" s="73"/>
      <c r="C225" s="73"/>
      <c r="D225" s="73"/>
      <c r="E225" s="73"/>
      <c r="F225" s="115" t="s">
        <v>120</v>
      </c>
      <c r="G225" s="115" t="s">
        <v>437</v>
      </c>
      <c r="H225" s="37">
        <v>1191400</v>
      </c>
      <c r="I225" s="130"/>
      <c r="J225" s="130"/>
      <c r="K225" s="130"/>
      <c r="L225" s="130"/>
      <c r="M225" s="130"/>
      <c r="N225" s="74"/>
      <c r="O225" s="73"/>
      <c r="P225" s="42"/>
    </row>
    <row r="226" spans="1:16" x14ac:dyDescent="0.25">
      <c r="A226" s="73"/>
      <c r="B226" s="73"/>
      <c r="C226" s="73"/>
      <c r="D226" s="73"/>
      <c r="E226" s="73"/>
      <c r="F226" s="115" t="s">
        <v>121</v>
      </c>
      <c r="G226" s="115" t="s">
        <v>437</v>
      </c>
      <c r="H226" s="37">
        <v>1325500</v>
      </c>
      <c r="I226" s="130"/>
      <c r="J226" s="130"/>
      <c r="K226" s="130"/>
      <c r="L226" s="130"/>
      <c r="M226" s="130"/>
      <c r="N226" s="74"/>
      <c r="O226" s="73"/>
      <c r="P226" s="42"/>
    </row>
    <row r="227" spans="1:16" x14ac:dyDescent="0.25">
      <c r="A227" s="73"/>
      <c r="B227" s="73"/>
      <c r="C227" s="73"/>
      <c r="D227" s="73"/>
      <c r="E227" s="73"/>
      <c r="F227" s="115" t="s">
        <v>122</v>
      </c>
      <c r="G227" s="115" t="s">
        <v>437</v>
      </c>
      <c r="H227" s="37">
        <v>0</v>
      </c>
      <c r="I227" s="130"/>
      <c r="J227" s="130"/>
      <c r="K227" s="130"/>
      <c r="L227" s="130"/>
      <c r="M227" s="130"/>
      <c r="N227" s="74"/>
      <c r="O227" s="73"/>
      <c r="P227" s="42"/>
    </row>
    <row r="228" spans="1:16" x14ac:dyDescent="0.25">
      <c r="A228" s="73"/>
      <c r="B228" s="73"/>
      <c r="C228" s="73"/>
      <c r="D228" s="73"/>
      <c r="E228" s="73"/>
      <c r="F228" s="115" t="s">
        <v>123</v>
      </c>
      <c r="G228" s="115" t="s">
        <v>437</v>
      </c>
      <c r="H228" s="37">
        <v>0</v>
      </c>
      <c r="I228" s="130"/>
      <c r="J228" s="130"/>
      <c r="K228" s="130"/>
      <c r="L228" s="130"/>
      <c r="M228" s="130"/>
      <c r="N228" s="74"/>
      <c r="O228" s="73"/>
      <c r="P228" s="42"/>
    </row>
    <row r="229" spans="1:16" x14ac:dyDescent="0.25">
      <c r="A229" s="73"/>
      <c r="B229" s="73"/>
      <c r="C229" s="73"/>
      <c r="D229" s="73"/>
      <c r="E229" s="73"/>
      <c r="F229" s="115" t="s">
        <v>124</v>
      </c>
      <c r="G229" s="115" t="s">
        <v>437</v>
      </c>
      <c r="H229" s="37">
        <v>147020</v>
      </c>
      <c r="I229" s="130"/>
      <c r="J229" s="130"/>
      <c r="K229" s="130"/>
      <c r="L229" s="130"/>
      <c r="M229" s="130"/>
      <c r="N229" s="74"/>
      <c r="O229" s="73"/>
      <c r="P229" s="42"/>
    </row>
    <row r="230" spans="1:16" x14ac:dyDescent="0.25">
      <c r="A230" s="73"/>
      <c r="B230" s="73"/>
      <c r="C230" s="73"/>
      <c r="D230" s="73"/>
      <c r="E230" s="73"/>
      <c r="F230" s="115" t="s">
        <v>125</v>
      </c>
      <c r="G230" s="115" t="s">
        <v>437</v>
      </c>
      <c r="H230" s="37">
        <v>0</v>
      </c>
      <c r="I230" s="130"/>
      <c r="J230" s="130"/>
      <c r="K230" s="130"/>
      <c r="L230" s="130"/>
      <c r="M230" s="130"/>
      <c r="N230" s="74"/>
      <c r="O230" s="73"/>
      <c r="P230" s="42"/>
    </row>
    <row r="231" spans="1:16" x14ac:dyDescent="0.25">
      <c r="A231" s="73"/>
      <c r="B231" s="73"/>
      <c r="C231" s="73"/>
      <c r="D231" s="73"/>
      <c r="E231" s="73"/>
      <c r="F231" s="115" t="s">
        <v>126</v>
      </c>
      <c r="G231" s="115" t="s">
        <v>437</v>
      </c>
      <c r="H231" s="37">
        <v>1140570</v>
      </c>
      <c r="I231" s="130"/>
      <c r="J231" s="130"/>
      <c r="K231" s="130"/>
      <c r="L231" s="130"/>
      <c r="M231" s="130"/>
      <c r="N231" s="74"/>
      <c r="O231" s="73"/>
      <c r="P231" s="42"/>
    </row>
    <row r="232" spans="1:16" x14ac:dyDescent="0.25">
      <c r="A232" s="73"/>
      <c r="B232" s="73"/>
      <c r="C232" s="73"/>
      <c r="D232" s="73"/>
      <c r="E232" s="73"/>
      <c r="F232" s="115" t="s">
        <v>127</v>
      </c>
      <c r="G232" s="115" t="s">
        <v>437</v>
      </c>
      <c r="H232" s="37">
        <v>0</v>
      </c>
      <c r="I232" s="130"/>
      <c r="J232" s="130"/>
      <c r="K232" s="130"/>
      <c r="L232" s="130"/>
      <c r="M232" s="130"/>
      <c r="N232" s="74"/>
      <c r="O232" s="73"/>
      <c r="P232" s="42"/>
    </row>
    <row r="233" spans="1:16" x14ac:dyDescent="0.25">
      <c r="A233" s="73"/>
      <c r="B233" s="73"/>
      <c r="C233" s="73"/>
      <c r="D233" s="73"/>
      <c r="E233" s="73"/>
      <c r="F233" s="115" t="s">
        <v>128</v>
      </c>
      <c r="G233" s="115" t="s">
        <v>437</v>
      </c>
      <c r="H233" s="37">
        <v>0</v>
      </c>
      <c r="I233" s="130"/>
      <c r="J233" s="130"/>
      <c r="K233" s="130"/>
      <c r="L233" s="130"/>
      <c r="M233" s="130"/>
      <c r="N233" s="74"/>
      <c r="O233" s="73"/>
      <c r="P233" s="42"/>
    </row>
    <row r="234" spans="1:16" x14ac:dyDescent="0.25">
      <c r="A234" s="73"/>
      <c r="B234" s="73"/>
      <c r="C234" s="73"/>
      <c r="D234" s="73"/>
      <c r="E234" s="73"/>
      <c r="F234" s="115" t="s">
        <v>129</v>
      </c>
      <c r="G234" s="115" t="s">
        <v>437</v>
      </c>
      <c r="H234" s="37">
        <v>0</v>
      </c>
      <c r="I234" s="130"/>
      <c r="J234" s="130"/>
      <c r="K234" s="130"/>
      <c r="L234" s="130"/>
      <c r="M234" s="130"/>
      <c r="N234" s="74"/>
      <c r="O234" s="73"/>
      <c r="P234" s="42"/>
    </row>
    <row r="235" spans="1:16" x14ac:dyDescent="0.25">
      <c r="A235" s="73"/>
      <c r="B235" s="73"/>
      <c r="C235" s="73"/>
      <c r="D235" s="73"/>
      <c r="E235" s="73"/>
      <c r="F235" s="115" t="s">
        <v>130</v>
      </c>
      <c r="G235" s="115" t="s">
        <v>437</v>
      </c>
      <c r="H235" s="37">
        <v>0</v>
      </c>
      <c r="I235" s="130"/>
      <c r="J235" s="130"/>
      <c r="K235" s="130"/>
      <c r="L235" s="130"/>
      <c r="M235" s="130"/>
      <c r="N235" s="74"/>
      <c r="O235" s="73"/>
      <c r="P235" s="42"/>
    </row>
    <row r="236" spans="1:16" x14ac:dyDescent="0.25">
      <c r="A236" s="73"/>
      <c r="B236" s="73"/>
      <c r="C236" s="73"/>
      <c r="D236" s="73"/>
      <c r="E236" s="73"/>
      <c r="F236" s="117" t="s">
        <v>131</v>
      </c>
      <c r="G236" s="117" t="s">
        <v>437</v>
      </c>
      <c r="H236" s="38">
        <v>0</v>
      </c>
      <c r="I236" s="130"/>
      <c r="J236" s="130"/>
      <c r="K236" s="130"/>
      <c r="L236" s="130"/>
      <c r="M236" s="130"/>
      <c r="N236" s="74"/>
      <c r="O236" s="73"/>
      <c r="P236" s="42"/>
    </row>
    <row r="237" spans="1:16" x14ac:dyDescent="0.25">
      <c r="A237" s="73"/>
      <c r="B237" s="73"/>
      <c r="C237" s="73"/>
      <c r="D237" s="73"/>
      <c r="E237" s="73"/>
      <c r="F237" s="73"/>
      <c r="G237" s="73"/>
      <c r="H237" s="74"/>
      <c r="I237" s="74"/>
      <c r="J237" s="74"/>
      <c r="K237" s="74"/>
      <c r="L237" s="74"/>
      <c r="M237" s="74"/>
      <c r="N237" s="74"/>
      <c r="O237" s="73"/>
      <c r="P237" s="42"/>
    </row>
    <row r="238" spans="1:16" x14ac:dyDescent="0.25">
      <c r="A238" s="101"/>
      <c r="B238" s="101"/>
      <c r="C238" s="110" t="s">
        <v>625</v>
      </c>
      <c r="D238" s="110"/>
      <c r="E238" s="110"/>
      <c r="F238" s="110"/>
      <c r="G238" s="110"/>
      <c r="H238" s="111"/>
      <c r="I238" s="111"/>
      <c r="J238" s="111"/>
      <c r="K238" s="111"/>
      <c r="L238" s="111"/>
      <c r="M238" s="111"/>
      <c r="N238" s="111"/>
      <c r="O238" s="110"/>
      <c r="P238" s="42"/>
    </row>
    <row r="239" spans="1:16" x14ac:dyDescent="0.25">
      <c r="A239" s="73"/>
      <c r="B239" s="73"/>
      <c r="C239" s="109"/>
      <c r="D239" s="109"/>
      <c r="E239" s="73"/>
      <c r="F239" s="73"/>
      <c r="G239" s="73"/>
      <c r="H239" s="74"/>
      <c r="I239" s="74"/>
      <c r="J239" s="74"/>
      <c r="K239" s="74"/>
      <c r="L239" s="74"/>
      <c r="M239" s="74"/>
      <c r="N239" s="74"/>
      <c r="O239" s="73"/>
      <c r="P239" s="42"/>
    </row>
    <row r="240" spans="1:16" x14ac:dyDescent="0.25">
      <c r="A240" s="73"/>
      <c r="B240" s="73"/>
      <c r="C240" s="73"/>
      <c r="D240" s="109" t="s">
        <v>499</v>
      </c>
      <c r="E240" s="73"/>
      <c r="F240" s="73"/>
      <c r="G240" s="73"/>
      <c r="H240" s="74"/>
      <c r="I240" s="74"/>
      <c r="J240" s="74"/>
      <c r="K240" s="74"/>
      <c r="L240" s="74"/>
      <c r="M240" s="74"/>
      <c r="N240" s="74"/>
      <c r="O240" s="73"/>
      <c r="P240" s="42"/>
    </row>
    <row r="241" spans="1:16" x14ac:dyDescent="0.25">
      <c r="A241" s="73"/>
      <c r="B241" s="73"/>
      <c r="C241" s="73"/>
      <c r="D241" s="109" t="s">
        <v>500</v>
      </c>
      <c r="E241" s="73"/>
      <c r="F241" s="73"/>
      <c r="G241" s="73"/>
      <c r="H241" s="74"/>
      <c r="I241" s="74"/>
      <c r="J241" s="74"/>
      <c r="K241" s="74"/>
      <c r="L241" s="74"/>
      <c r="M241" s="74"/>
      <c r="N241" s="74"/>
      <c r="O241" s="73"/>
      <c r="P241" s="42"/>
    </row>
    <row r="242" spans="1:16" x14ac:dyDescent="0.25">
      <c r="A242" s="73"/>
      <c r="B242" s="73"/>
      <c r="C242" s="73"/>
      <c r="D242" s="109"/>
      <c r="E242" s="73"/>
      <c r="F242" s="73"/>
      <c r="G242" s="73"/>
      <c r="H242" s="74"/>
      <c r="I242" s="74"/>
      <c r="J242" s="74"/>
      <c r="K242" s="74"/>
      <c r="L242" s="74"/>
      <c r="M242" s="74"/>
      <c r="N242" s="74"/>
      <c r="O242" s="73"/>
      <c r="P242" s="42"/>
    </row>
    <row r="243" spans="1:16" x14ac:dyDescent="0.25">
      <c r="A243" s="115"/>
      <c r="B243" s="73"/>
      <c r="C243" s="73"/>
      <c r="D243" s="109"/>
      <c r="E243" s="112" t="s">
        <v>133</v>
      </c>
      <c r="F243" s="73"/>
      <c r="G243" s="73"/>
      <c r="H243" s="74"/>
      <c r="I243" s="132" t="s">
        <v>314</v>
      </c>
      <c r="J243" s="74"/>
      <c r="K243" s="74"/>
      <c r="L243" s="74"/>
      <c r="M243" s="74"/>
      <c r="N243" s="74"/>
      <c r="O243" s="115" t="s">
        <v>602</v>
      </c>
      <c r="P243" s="42"/>
    </row>
    <row r="244" spans="1:16" x14ac:dyDescent="0.25">
      <c r="A244" s="73"/>
      <c r="B244" s="73"/>
      <c r="C244" s="73"/>
      <c r="D244" s="73"/>
      <c r="E244" s="109"/>
      <c r="F244" s="113" t="s">
        <v>134</v>
      </c>
      <c r="G244" s="113" t="s">
        <v>438</v>
      </c>
      <c r="H244" s="36">
        <v>0</v>
      </c>
      <c r="I244" s="130"/>
      <c r="J244" s="130"/>
      <c r="K244" s="130"/>
      <c r="L244" s="130"/>
      <c r="M244" s="130"/>
      <c r="N244" s="74"/>
      <c r="O244" s="73"/>
      <c r="P244" s="42"/>
    </row>
    <row r="245" spans="1:16" x14ac:dyDescent="0.25">
      <c r="A245" s="73"/>
      <c r="B245" s="73"/>
      <c r="C245" s="73"/>
      <c r="D245" s="73"/>
      <c r="E245" s="73"/>
      <c r="F245" s="115" t="s">
        <v>135</v>
      </c>
      <c r="G245" s="115" t="s">
        <v>438</v>
      </c>
      <c r="H245" s="37">
        <v>44500000.000000007</v>
      </c>
      <c r="I245" s="130"/>
      <c r="J245" s="130"/>
      <c r="K245" s="130"/>
      <c r="L245" s="130"/>
      <c r="M245" s="130"/>
      <c r="N245" s="74"/>
      <c r="O245" s="73"/>
      <c r="P245" s="42"/>
    </row>
    <row r="246" spans="1:16" x14ac:dyDescent="0.25">
      <c r="A246" s="73"/>
      <c r="B246" s="73"/>
      <c r="C246" s="73"/>
      <c r="D246" s="73"/>
      <c r="E246" s="73"/>
      <c r="F246" s="115" t="s">
        <v>136</v>
      </c>
      <c r="G246" s="115" t="s">
        <v>438</v>
      </c>
      <c r="H246" s="37">
        <v>14900000</v>
      </c>
      <c r="I246" s="130"/>
      <c r="J246" s="130"/>
      <c r="K246" s="130"/>
      <c r="L246" s="130"/>
      <c r="M246" s="130"/>
      <c r="N246" s="74"/>
      <c r="O246" s="73"/>
      <c r="P246" s="42"/>
    </row>
    <row r="247" spans="1:16" x14ac:dyDescent="0.25">
      <c r="A247" s="73"/>
      <c r="B247" s="73"/>
      <c r="C247" s="73"/>
      <c r="D247" s="73"/>
      <c r="E247" s="73"/>
      <c r="F247" s="115" t="s">
        <v>137</v>
      </c>
      <c r="G247" s="115" t="s">
        <v>438</v>
      </c>
      <c r="H247" s="37">
        <v>13500000</v>
      </c>
      <c r="I247" s="130"/>
      <c r="J247" s="130"/>
      <c r="K247" s="130"/>
      <c r="L247" s="130"/>
      <c r="M247" s="130"/>
      <c r="N247" s="74"/>
      <c r="O247" s="73"/>
      <c r="P247" s="42"/>
    </row>
    <row r="248" spans="1:16" x14ac:dyDescent="0.25">
      <c r="A248" s="73"/>
      <c r="B248" s="73"/>
      <c r="C248" s="73"/>
      <c r="D248" s="73"/>
      <c r="E248" s="73"/>
      <c r="F248" s="115" t="s">
        <v>138</v>
      </c>
      <c r="G248" s="115" t="s">
        <v>438</v>
      </c>
      <c r="H248" s="37">
        <v>7000000.0000000019</v>
      </c>
      <c r="I248" s="130"/>
      <c r="J248" s="130"/>
      <c r="K248" s="130"/>
      <c r="L248" s="130"/>
      <c r="M248" s="130"/>
      <c r="N248" s="74"/>
      <c r="O248" s="73"/>
      <c r="P248" s="42"/>
    </row>
    <row r="249" spans="1:16" x14ac:dyDescent="0.25">
      <c r="A249" s="73"/>
      <c r="B249" s="73"/>
      <c r="C249" s="73"/>
      <c r="D249" s="73"/>
      <c r="E249" s="73"/>
      <c r="F249" s="115" t="s">
        <v>139</v>
      </c>
      <c r="G249" s="115" t="s">
        <v>438</v>
      </c>
      <c r="H249" s="37">
        <v>5300000.0000000009</v>
      </c>
      <c r="I249" s="130"/>
      <c r="J249" s="130"/>
      <c r="K249" s="130"/>
      <c r="L249" s="130"/>
      <c r="M249" s="130"/>
      <c r="N249" s="74"/>
      <c r="O249" s="73"/>
      <c r="P249" s="42"/>
    </row>
    <row r="250" spans="1:16" x14ac:dyDescent="0.25">
      <c r="A250" s="73"/>
      <c r="B250" s="73"/>
      <c r="C250" s="73"/>
      <c r="D250" s="73"/>
      <c r="E250" s="73"/>
      <c r="F250" s="115" t="s">
        <v>140</v>
      </c>
      <c r="G250" s="115" t="s">
        <v>438</v>
      </c>
      <c r="H250" s="37">
        <v>600000</v>
      </c>
      <c r="I250" s="130"/>
      <c r="J250" s="130"/>
      <c r="K250" s="130"/>
      <c r="L250" s="130"/>
      <c r="M250" s="130"/>
      <c r="N250" s="74"/>
      <c r="O250" s="73"/>
      <c r="P250" s="42"/>
    </row>
    <row r="251" spans="1:16" x14ac:dyDescent="0.25">
      <c r="A251" s="73"/>
      <c r="B251" s="73"/>
      <c r="C251" s="73"/>
      <c r="D251" s="73"/>
      <c r="E251" s="73"/>
      <c r="F251" s="115" t="s">
        <v>141</v>
      </c>
      <c r="G251" s="115" t="s">
        <v>438</v>
      </c>
      <c r="H251" s="37">
        <v>4500000</v>
      </c>
      <c r="I251" s="130"/>
      <c r="J251" s="130"/>
      <c r="K251" s="130"/>
      <c r="L251" s="130"/>
      <c r="M251" s="130"/>
      <c r="N251" s="74"/>
      <c r="O251" s="73"/>
      <c r="P251" s="42"/>
    </row>
    <row r="252" spans="1:16" x14ac:dyDescent="0.25">
      <c r="A252" s="73"/>
      <c r="B252" s="73"/>
      <c r="C252" s="73"/>
      <c r="D252" s="73"/>
      <c r="E252" s="73"/>
      <c r="F252" s="115" t="s">
        <v>142</v>
      </c>
      <c r="G252" s="115" t="s">
        <v>438</v>
      </c>
      <c r="H252" s="37">
        <v>4899999.9999999991</v>
      </c>
      <c r="I252" s="130"/>
      <c r="J252" s="130"/>
      <c r="K252" s="130"/>
      <c r="L252" s="130"/>
      <c r="M252" s="130"/>
      <c r="N252" s="74"/>
      <c r="O252" s="73"/>
      <c r="P252" s="42"/>
    </row>
    <row r="253" spans="1:16" x14ac:dyDescent="0.25">
      <c r="A253" s="73"/>
      <c r="B253" s="73"/>
      <c r="C253" s="73"/>
      <c r="D253" s="73"/>
      <c r="E253" s="73"/>
      <c r="F253" s="115" t="s">
        <v>143</v>
      </c>
      <c r="G253" s="115" t="s">
        <v>438</v>
      </c>
      <c r="H253" s="37">
        <v>9600000.0000000019</v>
      </c>
      <c r="I253" s="130"/>
      <c r="J253" s="130"/>
      <c r="K253" s="130"/>
      <c r="L253" s="130"/>
      <c r="M253" s="130"/>
      <c r="N253" s="74"/>
      <c r="O253" s="73"/>
      <c r="P253" s="42"/>
    </row>
    <row r="254" spans="1:16" x14ac:dyDescent="0.25">
      <c r="A254" s="73"/>
      <c r="B254" s="73"/>
      <c r="C254" s="73"/>
      <c r="D254" s="73"/>
      <c r="E254" s="73"/>
      <c r="F254" s="115" t="s">
        <v>144</v>
      </c>
      <c r="G254" s="115" t="s">
        <v>438</v>
      </c>
      <c r="H254" s="37">
        <v>1900000</v>
      </c>
      <c r="I254" s="130"/>
      <c r="J254" s="130"/>
      <c r="K254" s="130"/>
      <c r="L254" s="130"/>
      <c r="M254" s="130"/>
      <c r="N254" s="74"/>
      <c r="O254" s="73"/>
      <c r="P254" s="42"/>
    </row>
    <row r="255" spans="1:16" x14ac:dyDescent="0.25">
      <c r="A255" s="73"/>
      <c r="B255" s="73"/>
      <c r="C255" s="73"/>
      <c r="D255" s="73"/>
      <c r="E255" s="73"/>
      <c r="F255" s="115" t="s">
        <v>145</v>
      </c>
      <c r="G255" s="115" t="s">
        <v>438</v>
      </c>
      <c r="H255" s="37">
        <v>1000000</v>
      </c>
      <c r="I255" s="130"/>
      <c r="J255" s="130"/>
      <c r="K255" s="130"/>
      <c r="L255" s="130"/>
      <c r="M255" s="130"/>
      <c r="N255" s="74"/>
      <c r="O255" s="73"/>
      <c r="P255" s="42"/>
    </row>
    <row r="256" spans="1:16" x14ac:dyDescent="0.25">
      <c r="A256" s="73"/>
      <c r="B256" s="73"/>
      <c r="C256" s="73"/>
      <c r="D256" s="73"/>
      <c r="E256" s="73"/>
      <c r="F256" s="115" t="s">
        <v>146</v>
      </c>
      <c r="G256" s="115" t="s">
        <v>438</v>
      </c>
      <c r="H256" s="37">
        <v>700000</v>
      </c>
      <c r="I256" s="130"/>
      <c r="J256" s="130"/>
      <c r="K256" s="130"/>
      <c r="L256" s="130"/>
      <c r="M256" s="130"/>
      <c r="N256" s="74"/>
      <c r="O256" s="73"/>
      <c r="P256" s="42"/>
    </row>
    <row r="257" spans="1:16" x14ac:dyDescent="0.25">
      <c r="A257" s="73"/>
      <c r="B257" s="73"/>
      <c r="C257" s="73"/>
      <c r="D257" s="73"/>
      <c r="E257" s="73"/>
      <c r="F257" s="115" t="s">
        <v>147</v>
      </c>
      <c r="G257" s="115" t="s">
        <v>438</v>
      </c>
      <c r="H257" s="37">
        <v>1200000</v>
      </c>
      <c r="I257" s="130"/>
      <c r="J257" s="130"/>
      <c r="K257" s="130"/>
      <c r="L257" s="130"/>
      <c r="M257" s="130"/>
      <c r="N257" s="74"/>
      <c r="O257" s="73"/>
      <c r="P257" s="42"/>
    </row>
    <row r="258" spans="1:16" x14ac:dyDescent="0.25">
      <c r="A258" s="73"/>
      <c r="B258" s="73"/>
      <c r="C258" s="73"/>
      <c r="D258" s="73"/>
      <c r="E258" s="73"/>
      <c r="F258" s="115" t="s">
        <v>148</v>
      </c>
      <c r="G258" s="115" t="s">
        <v>438</v>
      </c>
      <c r="H258" s="37">
        <v>4200000</v>
      </c>
      <c r="I258" s="130"/>
      <c r="J258" s="130"/>
      <c r="K258" s="130"/>
      <c r="L258" s="130"/>
      <c r="M258" s="130"/>
      <c r="N258" s="74"/>
      <c r="O258" s="73"/>
      <c r="P258" s="42"/>
    </row>
    <row r="259" spans="1:16" x14ac:dyDescent="0.25">
      <c r="A259" s="73"/>
      <c r="B259" s="73"/>
      <c r="C259" s="73"/>
      <c r="D259" s="73"/>
      <c r="E259" s="73"/>
      <c r="F259" s="115" t="s">
        <v>149</v>
      </c>
      <c r="G259" s="115" t="s">
        <v>438</v>
      </c>
      <c r="H259" s="37">
        <v>6900000</v>
      </c>
      <c r="I259" s="130"/>
      <c r="J259" s="130"/>
      <c r="K259" s="130"/>
      <c r="L259" s="130"/>
      <c r="M259" s="130"/>
      <c r="N259" s="74"/>
      <c r="O259" s="73"/>
      <c r="P259" s="42"/>
    </row>
    <row r="260" spans="1:16" x14ac:dyDescent="0.25">
      <c r="A260" s="73"/>
      <c r="B260" s="73"/>
      <c r="C260" s="73"/>
      <c r="D260" s="73"/>
      <c r="E260" s="73"/>
      <c r="F260" s="115" t="s">
        <v>150</v>
      </c>
      <c r="G260" s="115" t="s">
        <v>438</v>
      </c>
      <c r="H260" s="37">
        <v>3000000</v>
      </c>
      <c r="I260" s="130"/>
      <c r="J260" s="130"/>
      <c r="K260" s="130"/>
      <c r="L260" s="130"/>
      <c r="M260" s="130"/>
      <c r="N260" s="74"/>
      <c r="O260" s="73"/>
      <c r="P260" s="42"/>
    </row>
    <row r="261" spans="1:16" x14ac:dyDescent="0.25">
      <c r="A261" s="73"/>
      <c r="B261" s="73"/>
      <c r="C261" s="73"/>
      <c r="D261" s="73"/>
      <c r="E261" s="73"/>
      <c r="F261" s="115" t="s">
        <v>151</v>
      </c>
      <c r="G261" s="115" t="s">
        <v>438</v>
      </c>
      <c r="H261" s="37">
        <v>899999.99999999988</v>
      </c>
      <c r="I261" s="130"/>
      <c r="J261" s="130"/>
      <c r="K261" s="130"/>
      <c r="L261" s="130"/>
      <c r="M261" s="130"/>
      <c r="N261" s="74"/>
      <c r="O261" s="73"/>
      <c r="P261" s="42"/>
    </row>
    <row r="262" spans="1:16" x14ac:dyDescent="0.25">
      <c r="A262" s="73"/>
      <c r="B262" s="73"/>
      <c r="C262" s="73"/>
      <c r="D262" s="73"/>
      <c r="E262" s="73"/>
      <c r="F262" s="115" t="s">
        <v>152</v>
      </c>
      <c r="G262" s="115" t="s">
        <v>438</v>
      </c>
      <c r="H262" s="37">
        <v>1200000</v>
      </c>
      <c r="I262" s="130"/>
      <c r="J262" s="130"/>
      <c r="K262" s="130"/>
      <c r="L262" s="130"/>
      <c r="M262" s="130"/>
      <c r="N262" s="74"/>
      <c r="O262" s="73"/>
      <c r="P262" s="42"/>
    </row>
    <row r="263" spans="1:16" x14ac:dyDescent="0.25">
      <c r="A263" s="73"/>
      <c r="B263" s="73"/>
      <c r="C263" s="73"/>
      <c r="D263" s="73"/>
      <c r="E263" s="73"/>
      <c r="F263" s="115" t="s">
        <v>153</v>
      </c>
      <c r="G263" s="115" t="s">
        <v>438</v>
      </c>
      <c r="H263" s="37">
        <v>5899999.9999999991</v>
      </c>
      <c r="I263" s="130"/>
      <c r="J263" s="130"/>
      <c r="K263" s="130"/>
      <c r="L263" s="130"/>
      <c r="M263" s="130"/>
      <c r="N263" s="74"/>
      <c r="O263" s="73"/>
      <c r="P263" s="42"/>
    </row>
    <row r="264" spans="1:16" x14ac:dyDescent="0.25">
      <c r="A264" s="73"/>
      <c r="B264" s="73"/>
      <c r="C264" s="73"/>
      <c r="D264" s="73"/>
      <c r="E264" s="73"/>
      <c r="F264" s="115" t="s">
        <v>154</v>
      </c>
      <c r="G264" s="115" t="s">
        <v>438</v>
      </c>
      <c r="H264" s="37">
        <v>1600000</v>
      </c>
      <c r="I264" s="130"/>
      <c r="J264" s="130"/>
      <c r="K264" s="130"/>
      <c r="L264" s="130"/>
      <c r="M264" s="130"/>
      <c r="N264" s="74"/>
      <c r="O264" s="73"/>
      <c r="P264" s="42"/>
    </row>
    <row r="265" spans="1:16" x14ac:dyDescent="0.25">
      <c r="A265" s="73"/>
      <c r="B265" s="73"/>
      <c r="C265" s="73"/>
      <c r="D265" s="73"/>
      <c r="E265" s="73"/>
      <c r="F265" s="115" t="s">
        <v>155</v>
      </c>
      <c r="G265" s="115" t="s">
        <v>438</v>
      </c>
      <c r="H265" s="37">
        <v>7300000.0000000009</v>
      </c>
      <c r="I265" s="130"/>
      <c r="J265" s="130"/>
      <c r="K265" s="130"/>
      <c r="L265" s="130"/>
      <c r="M265" s="130"/>
      <c r="N265" s="74"/>
      <c r="O265" s="73"/>
      <c r="P265" s="42"/>
    </row>
    <row r="266" spans="1:16" x14ac:dyDescent="0.25">
      <c r="A266" s="73"/>
      <c r="B266" s="73"/>
      <c r="C266" s="73"/>
      <c r="D266" s="73"/>
      <c r="E266" s="73"/>
      <c r="F266" s="115" t="s">
        <v>156</v>
      </c>
      <c r="G266" s="115" t="s">
        <v>438</v>
      </c>
      <c r="H266" s="37">
        <v>20500000</v>
      </c>
      <c r="I266" s="130"/>
      <c r="J266" s="130"/>
      <c r="K266" s="130"/>
      <c r="L266" s="130"/>
      <c r="M266" s="130"/>
      <c r="N266" s="74"/>
      <c r="O266" s="73"/>
      <c r="P266" s="42"/>
    </row>
    <row r="267" spans="1:16" x14ac:dyDescent="0.25">
      <c r="A267" s="73"/>
      <c r="B267" s="73"/>
      <c r="C267" s="73"/>
      <c r="D267" s="73"/>
      <c r="E267" s="73"/>
      <c r="F267" s="115" t="s">
        <v>157</v>
      </c>
      <c r="G267" s="115" t="s">
        <v>438</v>
      </c>
      <c r="H267" s="37">
        <v>5800000.0000000009</v>
      </c>
      <c r="I267" s="130"/>
      <c r="J267" s="130"/>
      <c r="K267" s="130"/>
      <c r="L267" s="130"/>
      <c r="M267" s="130"/>
      <c r="N267" s="74"/>
      <c r="O267" s="73"/>
      <c r="P267" s="42"/>
    </row>
    <row r="268" spans="1:16" x14ac:dyDescent="0.25">
      <c r="A268" s="73"/>
      <c r="B268" s="73"/>
      <c r="C268" s="73"/>
      <c r="D268" s="73"/>
      <c r="E268" s="73"/>
      <c r="F268" s="115" t="s">
        <v>158</v>
      </c>
      <c r="G268" s="115" t="s">
        <v>438</v>
      </c>
      <c r="H268" s="37">
        <v>25200000</v>
      </c>
      <c r="I268" s="130"/>
      <c r="J268" s="130"/>
      <c r="K268" s="130"/>
      <c r="L268" s="130"/>
      <c r="M268" s="130"/>
      <c r="N268" s="74"/>
      <c r="O268" s="73"/>
      <c r="P268" s="42"/>
    </row>
    <row r="269" spans="1:16" x14ac:dyDescent="0.25">
      <c r="A269" s="73"/>
      <c r="B269" s="73"/>
      <c r="C269" s="73"/>
      <c r="D269" s="73"/>
      <c r="E269" s="73"/>
      <c r="F269" s="115" t="s">
        <v>159</v>
      </c>
      <c r="G269" s="115" t="s">
        <v>438</v>
      </c>
      <c r="H269" s="37">
        <v>300000</v>
      </c>
      <c r="I269" s="130"/>
      <c r="J269" s="130"/>
      <c r="K269" s="130"/>
      <c r="L269" s="130"/>
      <c r="M269" s="130"/>
      <c r="N269" s="74"/>
      <c r="O269" s="73"/>
      <c r="P269" s="42"/>
    </row>
    <row r="270" spans="1:16" x14ac:dyDescent="0.25">
      <c r="A270" s="73"/>
      <c r="B270" s="73"/>
      <c r="C270" s="73"/>
      <c r="D270" s="73"/>
      <c r="E270" s="73"/>
      <c r="F270" s="115" t="s">
        <v>160</v>
      </c>
      <c r="G270" s="115" t="s">
        <v>438</v>
      </c>
      <c r="H270" s="37">
        <v>100000</v>
      </c>
      <c r="I270" s="130"/>
      <c r="J270" s="130"/>
      <c r="K270" s="130"/>
      <c r="L270" s="130"/>
      <c r="M270" s="130"/>
      <c r="N270" s="74"/>
      <c r="O270" s="73"/>
      <c r="P270" s="42"/>
    </row>
    <row r="271" spans="1:16" x14ac:dyDescent="0.25">
      <c r="A271" s="73"/>
      <c r="B271" s="73"/>
      <c r="C271" s="73"/>
      <c r="D271" s="73"/>
      <c r="E271" s="73"/>
      <c r="F271" s="115" t="s">
        <v>161</v>
      </c>
      <c r="G271" s="115" t="s">
        <v>438</v>
      </c>
      <c r="H271" s="37">
        <v>1099999.9999999998</v>
      </c>
      <c r="I271" s="130"/>
      <c r="J271" s="130"/>
      <c r="K271" s="130"/>
      <c r="L271" s="130"/>
      <c r="M271" s="130"/>
      <c r="N271" s="74"/>
      <c r="O271" s="73"/>
      <c r="P271" s="42"/>
    </row>
    <row r="272" spans="1:16" x14ac:dyDescent="0.25">
      <c r="A272" s="73"/>
      <c r="B272" s="73"/>
      <c r="C272" s="73"/>
      <c r="D272" s="73"/>
      <c r="E272" s="73"/>
      <c r="F272" s="115" t="s">
        <v>162</v>
      </c>
      <c r="G272" s="115" t="s">
        <v>438</v>
      </c>
      <c r="H272" s="37">
        <v>34000000</v>
      </c>
      <c r="I272" s="130"/>
      <c r="J272" s="130"/>
      <c r="K272" s="130"/>
      <c r="L272" s="130"/>
      <c r="M272" s="130"/>
      <c r="N272" s="74"/>
      <c r="O272" s="73"/>
      <c r="P272" s="42"/>
    </row>
    <row r="273" spans="1:16" x14ac:dyDescent="0.25">
      <c r="A273" s="73"/>
      <c r="B273" s="73"/>
      <c r="C273" s="73"/>
      <c r="D273" s="73"/>
      <c r="E273" s="73"/>
      <c r="F273" s="115" t="s">
        <v>163</v>
      </c>
      <c r="G273" s="115" t="s">
        <v>438</v>
      </c>
      <c r="H273" s="37">
        <v>18017120.399999999</v>
      </c>
      <c r="I273" s="130"/>
      <c r="J273" s="130"/>
      <c r="K273" s="130"/>
      <c r="L273" s="130"/>
      <c r="M273" s="130"/>
      <c r="N273" s="74"/>
      <c r="O273" s="73"/>
      <c r="P273" s="42"/>
    </row>
    <row r="274" spans="1:16" x14ac:dyDescent="0.25">
      <c r="A274" s="73"/>
      <c r="B274" s="73"/>
      <c r="C274" s="73"/>
      <c r="D274" s="73"/>
      <c r="E274" s="73"/>
      <c r="F274" s="115" t="s">
        <v>164</v>
      </c>
      <c r="G274" s="115" t="s">
        <v>438</v>
      </c>
      <c r="H274" s="37">
        <v>5167573.9700000007</v>
      </c>
      <c r="I274" s="130"/>
      <c r="J274" s="130"/>
      <c r="K274" s="130"/>
      <c r="L274" s="130"/>
      <c r="M274" s="130"/>
      <c r="N274" s="74"/>
      <c r="O274" s="73"/>
      <c r="P274" s="42"/>
    </row>
    <row r="275" spans="1:16" x14ac:dyDescent="0.25">
      <c r="A275" s="73"/>
      <c r="B275" s="73"/>
      <c r="C275" s="73"/>
      <c r="D275" s="73"/>
      <c r="E275" s="73"/>
      <c r="F275" s="115" t="s">
        <v>189</v>
      </c>
      <c r="G275" s="115" t="s">
        <v>438</v>
      </c>
      <c r="H275" s="37">
        <v>0</v>
      </c>
      <c r="I275" s="130"/>
      <c r="J275" s="130"/>
      <c r="K275" s="130"/>
      <c r="L275" s="130"/>
      <c r="M275" s="130"/>
      <c r="N275" s="74"/>
      <c r="O275" s="73"/>
      <c r="P275" s="42"/>
    </row>
    <row r="276" spans="1:16" s="17" customFormat="1" x14ac:dyDescent="0.25">
      <c r="A276" s="73"/>
      <c r="B276" s="73"/>
      <c r="C276" s="73"/>
      <c r="D276" s="73"/>
      <c r="E276" s="73"/>
      <c r="F276" s="115" t="s">
        <v>743</v>
      </c>
      <c r="G276" s="115" t="s">
        <v>438</v>
      </c>
      <c r="H276" s="37">
        <v>719996</v>
      </c>
      <c r="I276" s="130"/>
      <c r="J276" s="130"/>
      <c r="K276" s="130"/>
      <c r="L276" s="130"/>
      <c r="M276" s="130"/>
      <c r="N276" s="74"/>
      <c r="O276" s="73"/>
      <c r="P276" s="42"/>
    </row>
    <row r="277" spans="1:16" x14ac:dyDescent="0.25">
      <c r="A277" s="73"/>
      <c r="B277" s="73"/>
      <c r="C277" s="73"/>
      <c r="D277" s="73"/>
      <c r="E277" s="73"/>
      <c r="F277" s="117" t="s">
        <v>742</v>
      </c>
      <c r="G277" s="117" t="s">
        <v>438</v>
      </c>
      <c r="H277" s="38">
        <v>-11484694.370000085</v>
      </c>
      <c r="I277" s="130"/>
      <c r="J277" s="130"/>
      <c r="K277" s="130"/>
      <c r="L277" s="130"/>
      <c r="M277" s="130"/>
      <c r="N277" s="74"/>
      <c r="O277" s="73"/>
      <c r="P277" s="42"/>
    </row>
    <row r="278" spans="1:16" x14ac:dyDescent="0.25">
      <c r="A278" s="73"/>
      <c r="B278" s="73"/>
      <c r="C278" s="73"/>
      <c r="D278" s="73"/>
      <c r="E278" s="73"/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</row>
    <row r="279" spans="1:16" x14ac:dyDescent="0.25">
      <c r="A279" s="101"/>
      <c r="B279" s="101"/>
      <c r="C279" s="110" t="s">
        <v>626</v>
      </c>
      <c r="D279" s="110"/>
      <c r="E279" s="110"/>
      <c r="F279" s="110"/>
      <c r="G279" s="110"/>
      <c r="H279" s="111"/>
      <c r="I279" s="111"/>
      <c r="J279" s="111"/>
      <c r="K279" s="111"/>
      <c r="L279" s="111"/>
      <c r="M279" s="111"/>
      <c r="N279" s="111"/>
      <c r="O279" s="110"/>
      <c r="P279" s="42"/>
    </row>
    <row r="280" spans="1:16" x14ac:dyDescent="0.25">
      <c r="A280" s="73"/>
      <c r="B280" s="73"/>
      <c r="C280" s="109"/>
      <c r="D280" s="109"/>
      <c r="E280" s="73"/>
      <c r="F280" s="73"/>
      <c r="G280" s="73"/>
      <c r="H280" s="74"/>
      <c r="I280" s="74"/>
      <c r="J280" s="74"/>
      <c r="K280" s="74"/>
      <c r="L280" s="74"/>
      <c r="M280" s="74"/>
      <c r="N280" s="74"/>
      <c r="O280" s="73"/>
      <c r="P280" s="42"/>
    </row>
    <row r="281" spans="1:16" x14ac:dyDescent="0.25">
      <c r="A281" s="73"/>
      <c r="B281" s="73"/>
      <c r="C281" s="73"/>
      <c r="D281" s="109" t="s">
        <v>704</v>
      </c>
      <c r="E281" s="73"/>
      <c r="F281" s="73"/>
      <c r="G281" s="73"/>
      <c r="H281" s="74"/>
      <c r="I281" s="74"/>
      <c r="J281" s="74"/>
      <c r="K281" s="74"/>
      <c r="L281" s="74"/>
      <c r="M281" s="74"/>
      <c r="N281" s="74"/>
      <c r="O281" s="73"/>
      <c r="P281" s="42"/>
    </row>
    <row r="282" spans="1:16" s="17" customFormat="1" x14ac:dyDescent="0.25">
      <c r="A282" s="73"/>
      <c r="B282" s="73"/>
      <c r="C282" s="73"/>
      <c r="D282" s="109" t="s">
        <v>705</v>
      </c>
      <c r="E282" s="73"/>
      <c r="F282" s="73"/>
      <c r="G282" s="73"/>
      <c r="H282" s="74"/>
      <c r="I282" s="74"/>
      <c r="J282" s="74"/>
      <c r="K282" s="74"/>
      <c r="L282" s="74"/>
      <c r="M282" s="74"/>
      <c r="N282" s="74"/>
      <c r="O282" s="73"/>
      <c r="P282" s="42"/>
    </row>
    <row r="283" spans="1:16" x14ac:dyDescent="0.25">
      <c r="A283" s="73"/>
      <c r="B283" s="73"/>
      <c r="C283" s="73"/>
      <c r="D283" s="109"/>
      <c r="E283" s="73"/>
      <c r="F283" s="73"/>
      <c r="G283" s="73"/>
      <c r="H283" s="74"/>
      <c r="I283" s="74"/>
      <c r="J283" s="74"/>
      <c r="K283" s="74"/>
      <c r="L283" s="74"/>
      <c r="M283" s="74"/>
      <c r="N283" s="74"/>
      <c r="O283" s="73"/>
      <c r="P283" s="42"/>
    </row>
    <row r="284" spans="1:16" x14ac:dyDescent="0.25">
      <c r="A284" s="115"/>
      <c r="B284" s="73"/>
      <c r="C284" s="73"/>
      <c r="D284" s="109"/>
      <c r="E284" s="112" t="s">
        <v>366</v>
      </c>
      <c r="F284" s="73"/>
      <c r="G284" s="73"/>
      <c r="H284" s="74"/>
      <c r="I284" s="132" t="s">
        <v>314</v>
      </c>
      <c r="J284" s="97" t="s">
        <v>165</v>
      </c>
      <c r="K284" s="97" t="s">
        <v>41</v>
      </c>
      <c r="L284" s="97" t="s">
        <v>40</v>
      </c>
      <c r="M284" s="97" t="s">
        <v>166</v>
      </c>
      <c r="N284" s="74"/>
      <c r="O284" s="115" t="s">
        <v>603</v>
      </c>
      <c r="P284" s="42"/>
    </row>
    <row r="285" spans="1:16" x14ac:dyDescent="0.25">
      <c r="A285" s="73"/>
      <c r="B285" s="73"/>
      <c r="C285" s="73"/>
      <c r="D285" s="73"/>
      <c r="E285" s="109"/>
      <c r="F285" s="113" t="s">
        <v>134</v>
      </c>
      <c r="G285" s="113" t="s">
        <v>438</v>
      </c>
      <c r="H285" s="145"/>
      <c r="I285" s="145"/>
      <c r="J285" s="133"/>
      <c r="K285" s="133"/>
      <c r="L285" s="133"/>
      <c r="M285" s="133"/>
      <c r="N285" s="74"/>
      <c r="O285" s="73"/>
      <c r="P285" s="42"/>
    </row>
    <row r="286" spans="1:16" x14ac:dyDescent="0.25">
      <c r="A286" s="73"/>
      <c r="B286" s="73"/>
      <c r="C286" s="73"/>
      <c r="D286" s="73"/>
      <c r="E286" s="73"/>
      <c r="F286" s="115" t="s">
        <v>135</v>
      </c>
      <c r="G286" s="115" t="s">
        <v>438</v>
      </c>
      <c r="H286" s="130"/>
      <c r="I286" s="130"/>
      <c r="J286" s="37">
        <v>12000000</v>
      </c>
      <c r="K286" s="37">
        <v>5000000</v>
      </c>
      <c r="L286" s="37">
        <v>14899999.999999998</v>
      </c>
      <c r="M286" s="37">
        <v>13300000.000000002</v>
      </c>
      <c r="N286" s="74"/>
      <c r="O286" s="73"/>
      <c r="P286" s="42"/>
    </row>
    <row r="287" spans="1:16" x14ac:dyDescent="0.25">
      <c r="A287" s="73"/>
      <c r="B287" s="73"/>
      <c r="C287" s="73"/>
      <c r="D287" s="73"/>
      <c r="E287" s="73"/>
      <c r="F287" s="115" t="s">
        <v>136</v>
      </c>
      <c r="G287" s="115" t="s">
        <v>438</v>
      </c>
      <c r="H287" s="130"/>
      <c r="I287" s="130"/>
      <c r="J287" s="37">
        <v>0</v>
      </c>
      <c r="K287" s="37">
        <v>0</v>
      </c>
      <c r="L287" s="37">
        <v>0</v>
      </c>
      <c r="M287" s="37">
        <v>0</v>
      </c>
      <c r="N287" s="74"/>
      <c r="O287" s="73"/>
      <c r="P287" s="42"/>
    </row>
    <row r="288" spans="1:16" x14ac:dyDescent="0.25">
      <c r="A288" s="73"/>
      <c r="B288" s="73"/>
      <c r="C288" s="73"/>
      <c r="D288" s="73"/>
      <c r="E288" s="73"/>
      <c r="F288" s="115" t="s">
        <v>137</v>
      </c>
      <c r="G288" s="115" t="s">
        <v>438</v>
      </c>
      <c r="H288" s="130"/>
      <c r="I288" s="130"/>
      <c r="J288" s="37">
        <v>8499999.9999999981</v>
      </c>
      <c r="K288" s="37">
        <v>400000</v>
      </c>
      <c r="L288" s="37">
        <v>2500000</v>
      </c>
      <c r="M288" s="37">
        <v>1000000</v>
      </c>
      <c r="N288" s="74"/>
      <c r="O288" s="73"/>
      <c r="P288" s="42"/>
    </row>
    <row r="289" spans="1:16" x14ac:dyDescent="0.25">
      <c r="A289" s="73"/>
      <c r="B289" s="73"/>
      <c r="C289" s="73"/>
      <c r="D289" s="73"/>
      <c r="E289" s="73"/>
      <c r="F289" s="115" t="s">
        <v>138</v>
      </c>
      <c r="G289" s="115" t="s">
        <v>438</v>
      </c>
      <c r="H289" s="130"/>
      <c r="I289" s="130"/>
      <c r="J289" s="37">
        <v>1200000</v>
      </c>
      <c r="K289" s="37">
        <v>2700000</v>
      </c>
      <c r="L289" s="37">
        <v>800000</v>
      </c>
      <c r="M289" s="37">
        <v>2100000</v>
      </c>
      <c r="N289" s="74"/>
      <c r="O289" s="73"/>
      <c r="P289" s="42"/>
    </row>
    <row r="290" spans="1:16" x14ac:dyDescent="0.25">
      <c r="A290" s="73"/>
      <c r="B290" s="73"/>
      <c r="C290" s="73"/>
      <c r="D290" s="73"/>
      <c r="E290" s="73"/>
      <c r="F290" s="115" t="s">
        <v>139</v>
      </c>
      <c r="G290" s="115" t="s">
        <v>438</v>
      </c>
      <c r="H290" s="130"/>
      <c r="I290" s="130"/>
      <c r="J290" s="37">
        <v>2795916.4081484308</v>
      </c>
      <c r="K290" s="37">
        <v>0</v>
      </c>
      <c r="L290" s="37">
        <v>2119896.1128685074</v>
      </c>
      <c r="M290" s="37">
        <v>393330.13347943331</v>
      </c>
      <c r="N290" s="74"/>
      <c r="O290" s="73"/>
      <c r="P290" s="42"/>
    </row>
    <row r="291" spans="1:16" x14ac:dyDescent="0.25">
      <c r="A291" s="73"/>
      <c r="B291" s="73"/>
      <c r="C291" s="73"/>
      <c r="D291" s="73"/>
      <c r="E291" s="73"/>
      <c r="F291" s="115" t="s">
        <v>140</v>
      </c>
      <c r="G291" s="115" t="s">
        <v>438</v>
      </c>
      <c r="H291" s="130"/>
      <c r="I291" s="130"/>
      <c r="J291" s="37">
        <v>0</v>
      </c>
      <c r="K291" s="37">
        <v>0</v>
      </c>
      <c r="L291" s="37">
        <v>0</v>
      </c>
      <c r="M291" s="37">
        <v>0</v>
      </c>
      <c r="N291" s="74"/>
      <c r="O291" s="73"/>
      <c r="P291" s="42"/>
    </row>
    <row r="292" spans="1:16" x14ac:dyDescent="0.25">
      <c r="A292" s="73"/>
      <c r="B292" s="73"/>
      <c r="C292" s="73"/>
      <c r="D292" s="73"/>
      <c r="E292" s="73"/>
      <c r="F292" s="115" t="s">
        <v>141</v>
      </c>
      <c r="G292" s="115" t="s">
        <v>438</v>
      </c>
      <c r="H292" s="130"/>
      <c r="I292" s="130"/>
      <c r="J292" s="37">
        <v>0</v>
      </c>
      <c r="K292" s="37">
        <v>0</v>
      </c>
      <c r="L292" s="37">
        <v>0</v>
      </c>
      <c r="M292" s="37">
        <v>0</v>
      </c>
      <c r="N292" s="74"/>
      <c r="O292" s="73"/>
      <c r="P292" s="42"/>
    </row>
    <row r="293" spans="1:16" x14ac:dyDescent="0.25">
      <c r="A293" s="73"/>
      <c r="B293" s="73"/>
      <c r="C293" s="73"/>
      <c r="D293" s="73"/>
      <c r="E293" s="73"/>
      <c r="F293" s="115" t="s">
        <v>142</v>
      </c>
      <c r="G293" s="115" t="s">
        <v>438</v>
      </c>
      <c r="H293" s="130"/>
      <c r="I293" s="130"/>
      <c r="J293" s="37">
        <v>0</v>
      </c>
      <c r="K293" s="37">
        <v>0</v>
      </c>
      <c r="L293" s="37">
        <v>0</v>
      </c>
      <c r="M293" s="37">
        <v>0</v>
      </c>
      <c r="N293" s="74"/>
      <c r="O293" s="73"/>
      <c r="P293" s="42"/>
    </row>
    <row r="294" spans="1:16" x14ac:dyDescent="0.25">
      <c r="A294" s="73"/>
      <c r="B294" s="73"/>
      <c r="C294" s="73"/>
      <c r="D294" s="73"/>
      <c r="E294" s="73"/>
      <c r="F294" s="115" t="s">
        <v>143</v>
      </c>
      <c r="G294" s="115" t="s">
        <v>438</v>
      </c>
      <c r="H294" s="130"/>
      <c r="I294" s="130"/>
      <c r="J294" s="37">
        <v>0</v>
      </c>
      <c r="K294" s="37">
        <v>0</v>
      </c>
      <c r="L294" s="37">
        <v>0</v>
      </c>
      <c r="M294" s="37">
        <v>0</v>
      </c>
      <c r="N294" s="74"/>
      <c r="O294" s="73"/>
      <c r="P294" s="42"/>
    </row>
    <row r="295" spans="1:16" x14ac:dyDescent="0.25">
      <c r="A295" s="73"/>
      <c r="B295" s="73"/>
      <c r="C295" s="73"/>
      <c r="D295" s="73"/>
      <c r="E295" s="73"/>
      <c r="F295" s="115" t="s">
        <v>144</v>
      </c>
      <c r="G295" s="115" t="s">
        <v>438</v>
      </c>
      <c r="H295" s="130"/>
      <c r="I295" s="130"/>
      <c r="J295" s="37">
        <v>0</v>
      </c>
      <c r="K295" s="37">
        <v>0</v>
      </c>
      <c r="L295" s="37">
        <v>0</v>
      </c>
      <c r="M295" s="37">
        <v>0</v>
      </c>
      <c r="N295" s="74"/>
      <c r="O295" s="73"/>
      <c r="P295" s="42"/>
    </row>
    <row r="296" spans="1:16" x14ac:dyDescent="0.25">
      <c r="A296" s="73"/>
      <c r="B296" s="73"/>
      <c r="C296" s="73"/>
      <c r="D296" s="73"/>
      <c r="E296" s="73"/>
      <c r="F296" s="115" t="s">
        <v>145</v>
      </c>
      <c r="G296" s="115" t="s">
        <v>438</v>
      </c>
      <c r="H296" s="130"/>
      <c r="I296" s="130"/>
      <c r="J296" s="37">
        <v>0</v>
      </c>
      <c r="K296" s="37">
        <v>0</v>
      </c>
      <c r="L296" s="37">
        <v>0</v>
      </c>
      <c r="M296" s="37">
        <v>0</v>
      </c>
      <c r="N296" s="74"/>
      <c r="O296" s="73"/>
      <c r="P296" s="42"/>
    </row>
    <row r="297" spans="1:16" x14ac:dyDescent="0.25">
      <c r="A297" s="73"/>
      <c r="B297" s="73"/>
      <c r="C297" s="73"/>
      <c r="D297" s="73"/>
      <c r="E297" s="73"/>
      <c r="F297" s="115" t="s">
        <v>146</v>
      </c>
      <c r="G297" s="115" t="s">
        <v>438</v>
      </c>
      <c r="H297" s="130"/>
      <c r="I297" s="130"/>
      <c r="J297" s="37">
        <v>0</v>
      </c>
      <c r="K297" s="37">
        <v>0</v>
      </c>
      <c r="L297" s="37">
        <v>0</v>
      </c>
      <c r="M297" s="37">
        <v>0</v>
      </c>
      <c r="N297" s="74"/>
      <c r="O297" s="73"/>
      <c r="P297" s="42"/>
    </row>
    <row r="298" spans="1:16" x14ac:dyDescent="0.25">
      <c r="A298" s="73"/>
      <c r="B298" s="73"/>
      <c r="C298" s="73"/>
      <c r="D298" s="73"/>
      <c r="E298" s="73"/>
      <c r="F298" s="115" t="s">
        <v>147</v>
      </c>
      <c r="G298" s="115" t="s">
        <v>438</v>
      </c>
      <c r="H298" s="130"/>
      <c r="I298" s="130"/>
      <c r="J298" s="37">
        <v>0</v>
      </c>
      <c r="K298" s="37">
        <v>0</v>
      </c>
      <c r="L298" s="37">
        <v>0</v>
      </c>
      <c r="M298" s="37">
        <v>0</v>
      </c>
      <c r="N298" s="74"/>
      <c r="O298" s="73"/>
      <c r="P298" s="42"/>
    </row>
    <row r="299" spans="1:16" x14ac:dyDescent="0.25">
      <c r="A299" s="73"/>
      <c r="B299" s="73"/>
      <c r="C299" s="73"/>
      <c r="D299" s="73"/>
      <c r="E299" s="73"/>
      <c r="F299" s="115" t="s">
        <v>148</v>
      </c>
      <c r="G299" s="115" t="s">
        <v>438</v>
      </c>
      <c r="H299" s="130"/>
      <c r="I299" s="130"/>
      <c r="J299" s="37">
        <v>0</v>
      </c>
      <c r="K299" s="37">
        <v>0</v>
      </c>
      <c r="L299" s="37">
        <v>0</v>
      </c>
      <c r="M299" s="37">
        <v>0</v>
      </c>
      <c r="N299" s="74"/>
      <c r="O299" s="73"/>
      <c r="P299" s="42"/>
    </row>
    <row r="300" spans="1:16" x14ac:dyDescent="0.25">
      <c r="A300" s="73"/>
      <c r="B300" s="73"/>
      <c r="C300" s="73"/>
      <c r="D300" s="73"/>
      <c r="E300" s="73"/>
      <c r="F300" s="115" t="s">
        <v>149</v>
      </c>
      <c r="G300" s="115" t="s">
        <v>438</v>
      </c>
      <c r="H300" s="130"/>
      <c r="I300" s="130"/>
      <c r="J300" s="37">
        <v>0</v>
      </c>
      <c r="K300" s="37">
        <v>0</v>
      </c>
      <c r="L300" s="37">
        <v>0</v>
      </c>
      <c r="M300" s="37">
        <v>0</v>
      </c>
      <c r="N300" s="74"/>
      <c r="O300" s="73"/>
      <c r="P300" s="42"/>
    </row>
    <row r="301" spans="1:16" x14ac:dyDescent="0.25">
      <c r="A301" s="73"/>
      <c r="B301" s="73"/>
      <c r="C301" s="73"/>
      <c r="D301" s="73"/>
      <c r="E301" s="73"/>
      <c r="F301" s="115" t="s">
        <v>150</v>
      </c>
      <c r="G301" s="115" t="s">
        <v>438</v>
      </c>
      <c r="H301" s="130"/>
      <c r="I301" s="130"/>
      <c r="J301" s="37">
        <v>0</v>
      </c>
      <c r="K301" s="37">
        <v>0</v>
      </c>
      <c r="L301" s="37">
        <v>0</v>
      </c>
      <c r="M301" s="37">
        <v>0</v>
      </c>
      <c r="N301" s="74"/>
      <c r="O301" s="73"/>
      <c r="P301" s="42"/>
    </row>
    <row r="302" spans="1:16" x14ac:dyDescent="0.25">
      <c r="A302" s="73"/>
      <c r="B302" s="73"/>
      <c r="C302" s="73"/>
      <c r="D302" s="73"/>
      <c r="E302" s="73"/>
      <c r="F302" s="115" t="s">
        <v>151</v>
      </c>
      <c r="G302" s="115" t="s">
        <v>438</v>
      </c>
      <c r="H302" s="130"/>
      <c r="I302" s="130"/>
      <c r="J302" s="37">
        <v>0</v>
      </c>
      <c r="K302" s="37">
        <v>0</v>
      </c>
      <c r="L302" s="37">
        <v>0</v>
      </c>
      <c r="M302" s="37">
        <v>0</v>
      </c>
      <c r="N302" s="74"/>
      <c r="O302" s="73"/>
      <c r="P302" s="42"/>
    </row>
    <row r="303" spans="1:16" x14ac:dyDescent="0.25">
      <c r="A303" s="73"/>
      <c r="B303" s="73"/>
      <c r="C303" s="73"/>
      <c r="D303" s="73"/>
      <c r="E303" s="73"/>
      <c r="F303" s="115" t="s">
        <v>152</v>
      </c>
      <c r="G303" s="115" t="s">
        <v>438</v>
      </c>
      <c r="H303" s="130"/>
      <c r="I303" s="130"/>
      <c r="J303" s="37">
        <v>0</v>
      </c>
      <c r="K303" s="37">
        <v>0</v>
      </c>
      <c r="L303" s="37">
        <v>0</v>
      </c>
      <c r="M303" s="37">
        <v>0</v>
      </c>
      <c r="N303" s="74"/>
      <c r="O303" s="73"/>
      <c r="P303" s="42"/>
    </row>
    <row r="304" spans="1:16" x14ac:dyDescent="0.25">
      <c r="A304" s="73"/>
      <c r="B304" s="73"/>
      <c r="C304" s="73"/>
      <c r="D304" s="73"/>
      <c r="E304" s="73"/>
      <c r="F304" s="115" t="s">
        <v>153</v>
      </c>
      <c r="G304" s="115" t="s">
        <v>438</v>
      </c>
      <c r="H304" s="130"/>
      <c r="I304" s="130"/>
      <c r="J304" s="37">
        <v>0</v>
      </c>
      <c r="K304" s="37">
        <v>0</v>
      </c>
      <c r="L304" s="37">
        <v>0</v>
      </c>
      <c r="M304" s="37">
        <v>0</v>
      </c>
      <c r="N304" s="74"/>
      <c r="O304" s="73"/>
      <c r="P304" s="42"/>
    </row>
    <row r="305" spans="1:16" x14ac:dyDescent="0.25">
      <c r="A305" s="73"/>
      <c r="B305" s="73"/>
      <c r="C305" s="73"/>
      <c r="D305" s="73"/>
      <c r="E305" s="73"/>
      <c r="F305" s="115" t="s">
        <v>154</v>
      </c>
      <c r="G305" s="115" t="s">
        <v>438</v>
      </c>
      <c r="H305" s="130"/>
      <c r="I305" s="130"/>
      <c r="J305" s="37">
        <v>0</v>
      </c>
      <c r="K305" s="37">
        <v>0</v>
      </c>
      <c r="L305" s="37">
        <v>0</v>
      </c>
      <c r="M305" s="37">
        <v>0</v>
      </c>
      <c r="N305" s="74"/>
      <c r="O305" s="73"/>
      <c r="P305" s="42"/>
    </row>
    <row r="306" spans="1:16" x14ac:dyDescent="0.25">
      <c r="A306" s="73"/>
      <c r="B306" s="73"/>
      <c r="C306" s="73"/>
      <c r="D306" s="73"/>
      <c r="E306" s="73"/>
      <c r="F306" s="115" t="s">
        <v>155</v>
      </c>
      <c r="G306" s="115" t="s">
        <v>438</v>
      </c>
      <c r="H306" s="130"/>
      <c r="I306" s="130"/>
      <c r="J306" s="37">
        <v>0</v>
      </c>
      <c r="K306" s="37">
        <v>0</v>
      </c>
      <c r="L306" s="37">
        <v>0</v>
      </c>
      <c r="M306" s="37">
        <v>0</v>
      </c>
      <c r="N306" s="74"/>
      <c r="O306" s="73"/>
      <c r="P306" s="42"/>
    </row>
    <row r="307" spans="1:16" x14ac:dyDescent="0.25">
      <c r="A307" s="73"/>
      <c r="B307" s="73"/>
      <c r="C307" s="73"/>
      <c r="D307" s="73"/>
      <c r="E307" s="73"/>
      <c r="F307" s="115" t="s">
        <v>156</v>
      </c>
      <c r="G307" s="115" t="s">
        <v>438</v>
      </c>
      <c r="H307" s="130"/>
      <c r="I307" s="130"/>
      <c r="J307" s="37">
        <v>0</v>
      </c>
      <c r="K307" s="37">
        <v>0</v>
      </c>
      <c r="L307" s="37">
        <v>0</v>
      </c>
      <c r="M307" s="37">
        <v>0</v>
      </c>
      <c r="N307" s="74"/>
      <c r="O307" s="73"/>
      <c r="P307" s="42"/>
    </row>
    <row r="308" spans="1:16" x14ac:dyDescent="0.25">
      <c r="A308" s="73"/>
      <c r="B308" s="73"/>
      <c r="C308" s="73"/>
      <c r="D308" s="73"/>
      <c r="E308" s="73"/>
      <c r="F308" s="115" t="s">
        <v>157</v>
      </c>
      <c r="G308" s="115" t="s">
        <v>438</v>
      </c>
      <c r="H308" s="130"/>
      <c r="I308" s="130"/>
      <c r="J308" s="37">
        <v>0</v>
      </c>
      <c r="K308" s="37">
        <v>0</v>
      </c>
      <c r="L308" s="37">
        <v>0</v>
      </c>
      <c r="M308" s="37">
        <v>0</v>
      </c>
      <c r="N308" s="74"/>
      <c r="O308" s="73"/>
      <c r="P308" s="42"/>
    </row>
    <row r="309" spans="1:16" x14ac:dyDescent="0.25">
      <c r="A309" s="73"/>
      <c r="B309" s="73"/>
      <c r="C309" s="73"/>
      <c r="D309" s="73"/>
      <c r="E309" s="73"/>
      <c r="F309" s="115" t="s">
        <v>158</v>
      </c>
      <c r="G309" s="115" t="s">
        <v>438</v>
      </c>
      <c r="H309" s="130"/>
      <c r="I309" s="130"/>
      <c r="J309" s="37">
        <v>0</v>
      </c>
      <c r="K309" s="37">
        <v>0</v>
      </c>
      <c r="L309" s="37">
        <v>0</v>
      </c>
      <c r="M309" s="37">
        <v>0</v>
      </c>
      <c r="N309" s="74"/>
      <c r="O309" s="73"/>
      <c r="P309" s="42"/>
    </row>
    <row r="310" spans="1:16" x14ac:dyDescent="0.25">
      <c r="A310" s="73"/>
      <c r="B310" s="73"/>
      <c r="C310" s="73"/>
      <c r="D310" s="73"/>
      <c r="E310" s="73"/>
      <c r="F310" s="115" t="s">
        <v>159</v>
      </c>
      <c r="G310" s="115" t="s">
        <v>438</v>
      </c>
      <c r="H310" s="130"/>
      <c r="I310" s="130"/>
      <c r="J310" s="37">
        <v>0</v>
      </c>
      <c r="K310" s="37">
        <v>0</v>
      </c>
      <c r="L310" s="37">
        <v>0</v>
      </c>
      <c r="M310" s="37">
        <v>0</v>
      </c>
      <c r="N310" s="74"/>
      <c r="O310" s="73"/>
      <c r="P310" s="42"/>
    </row>
    <row r="311" spans="1:16" x14ac:dyDescent="0.25">
      <c r="A311" s="73"/>
      <c r="B311" s="73"/>
      <c r="C311" s="73"/>
      <c r="D311" s="73"/>
      <c r="E311" s="73"/>
      <c r="F311" s="115" t="s">
        <v>160</v>
      </c>
      <c r="G311" s="115" t="s">
        <v>438</v>
      </c>
      <c r="H311" s="130"/>
      <c r="I311" s="130"/>
      <c r="J311" s="37">
        <v>0</v>
      </c>
      <c r="K311" s="37">
        <v>0</v>
      </c>
      <c r="L311" s="37">
        <v>0</v>
      </c>
      <c r="M311" s="37">
        <v>0</v>
      </c>
      <c r="N311" s="74"/>
      <c r="O311" s="73"/>
      <c r="P311" s="42"/>
    </row>
    <row r="312" spans="1:16" x14ac:dyDescent="0.25">
      <c r="A312" s="73"/>
      <c r="B312" s="73"/>
      <c r="C312" s="73"/>
      <c r="D312" s="73"/>
      <c r="E312" s="73"/>
      <c r="F312" s="115" t="s">
        <v>161</v>
      </c>
      <c r="G312" s="115" t="s">
        <v>438</v>
      </c>
      <c r="H312" s="130"/>
      <c r="I312" s="130"/>
      <c r="J312" s="37">
        <v>0</v>
      </c>
      <c r="K312" s="37">
        <v>0</v>
      </c>
      <c r="L312" s="37">
        <v>0</v>
      </c>
      <c r="M312" s="37">
        <v>0</v>
      </c>
      <c r="N312" s="74"/>
      <c r="O312" s="73"/>
      <c r="P312" s="42"/>
    </row>
    <row r="313" spans="1:16" x14ac:dyDescent="0.25">
      <c r="A313" s="73"/>
      <c r="B313" s="73"/>
      <c r="C313" s="73"/>
      <c r="D313" s="73"/>
      <c r="E313" s="73"/>
      <c r="F313" s="115" t="s">
        <v>162</v>
      </c>
      <c r="G313" s="115" t="s">
        <v>438</v>
      </c>
      <c r="H313" s="130"/>
      <c r="I313" s="130"/>
      <c r="J313" s="37">
        <v>0</v>
      </c>
      <c r="K313" s="37">
        <v>0</v>
      </c>
      <c r="L313" s="37">
        <v>0</v>
      </c>
      <c r="M313" s="37">
        <v>0</v>
      </c>
      <c r="N313" s="74"/>
      <c r="O313" s="73"/>
      <c r="P313" s="42"/>
    </row>
    <row r="314" spans="1:16" x14ac:dyDescent="0.25">
      <c r="A314" s="73"/>
      <c r="B314" s="73"/>
      <c r="C314" s="73"/>
      <c r="D314" s="73"/>
      <c r="E314" s="73"/>
      <c r="F314" s="115" t="s">
        <v>163</v>
      </c>
      <c r="G314" s="115" t="s">
        <v>438</v>
      </c>
      <c r="H314" s="130"/>
      <c r="I314" s="130"/>
      <c r="J314" s="37">
        <v>0</v>
      </c>
      <c r="K314" s="37">
        <v>0</v>
      </c>
      <c r="L314" s="37">
        <v>0</v>
      </c>
      <c r="M314" s="37">
        <v>0</v>
      </c>
      <c r="N314" s="74"/>
      <c r="O314" s="73"/>
      <c r="P314" s="42"/>
    </row>
    <row r="315" spans="1:16" x14ac:dyDescent="0.25">
      <c r="A315" s="73"/>
      <c r="B315" s="73"/>
      <c r="C315" s="73"/>
      <c r="D315" s="73"/>
      <c r="E315" s="73"/>
      <c r="F315" s="115" t="s">
        <v>164</v>
      </c>
      <c r="G315" s="115" t="s">
        <v>438</v>
      </c>
      <c r="H315" s="130"/>
      <c r="I315" s="130"/>
      <c r="J315" s="37">
        <v>0</v>
      </c>
      <c r="K315" s="37">
        <v>0</v>
      </c>
      <c r="L315" s="37">
        <v>0</v>
      </c>
      <c r="M315" s="37">
        <v>0</v>
      </c>
      <c r="N315" s="74"/>
      <c r="O315" s="73"/>
      <c r="P315" s="42"/>
    </row>
    <row r="316" spans="1:16" x14ac:dyDescent="0.25">
      <c r="A316" s="73"/>
      <c r="B316" s="73"/>
      <c r="C316" s="73"/>
      <c r="D316" s="73"/>
      <c r="E316" s="73"/>
      <c r="F316" s="115" t="s">
        <v>189</v>
      </c>
      <c r="G316" s="115" t="s">
        <v>438</v>
      </c>
      <c r="H316" s="130"/>
      <c r="I316" s="130"/>
      <c r="J316" s="37">
        <v>0</v>
      </c>
      <c r="K316" s="37">
        <v>0</v>
      </c>
      <c r="L316" s="37">
        <v>0</v>
      </c>
      <c r="M316" s="37">
        <v>0</v>
      </c>
      <c r="N316" s="74"/>
      <c r="O316" s="73"/>
      <c r="P316" s="42"/>
    </row>
    <row r="317" spans="1:16" s="17" customFormat="1" x14ac:dyDescent="0.25">
      <c r="A317" s="73"/>
      <c r="B317" s="73"/>
      <c r="C317" s="73"/>
      <c r="D317" s="73"/>
      <c r="E317" s="73"/>
      <c r="F317" s="115" t="s">
        <v>743</v>
      </c>
      <c r="G317" s="115" t="s">
        <v>438</v>
      </c>
      <c r="H317" s="130"/>
      <c r="I317" s="130"/>
      <c r="J317" s="37">
        <v>0</v>
      </c>
      <c r="K317" s="37">
        <v>0</v>
      </c>
      <c r="L317" s="37">
        <v>0</v>
      </c>
      <c r="M317" s="37">
        <v>0</v>
      </c>
      <c r="N317" s="74"/>
      <c r="O317" s="73"/>
      <c r="P317" s="42"/>
    </row>
    <row r="318" spans="1:16" x14ac:dyDescent="0.25">
      <c r="A318" s="73"/>
      <c r="B318" s="73"/>
      <c r="C318" s="73"/>
      <c r="D318" s="73"/>
      <c r="E318" s="73"/>
      <c r="F318" s="117" t="s">
        <v>742</v>
      </c>
      <c r="G318" s="117" t="s">
        <v>438</v>
      </c>
      <c r="H318" s="146"/>
      <c r="I318" s="147"/>
      <c r="J318" s="39">
        <v>0</v>
      </c>
      <c r="K318" s="39">
        <v>0</v>
      </c>
      <c r="L318" s="39">
        <v>0</v>
      </c>
      <c r="M318" s="39">
        <v>0</v>
      </c>
      <c r="N318" s="74"/>
      <c r="O318" s="73"/>
      <c r="P318" s="42"/>
    </row>
    <row r="319" spans="1:16" x14ac:dyDescent="0.25">
      <c r="A319" s="73"/>
      <c r="B319" s="73"/>
      <c r="C319" s="73"/>
      <c r="D319" s="73"/>
      <c r="E319" s="73"/>
      <c r="F319" s="73"/>
      <c r="G319" s="73"/>
      <c r="H319" s="74"/>
      <c r="I319" s="74"/>
      <c r="J319" s="74"/>
      <c r="K319" s="74"/>
      <c r="L319" s="74"/>
      <c r="M319" s="74"/>
      <c r="N319" s="74"/>
      <c r="O319" s="73"/>
      <c r="P319" s="42"/>
    </row>
    <row r="320" spans="1:16" x14ac:dyDescent="0.25">
      <c r="A320" s="101"/>
      <c r="B320" s="101"/>
      <c r="C320" s="110" t="s">
        <v>627</v>
      </c>
      <c r="D320" s="110"/>
      <c r="E320" s="110"/>
      <c r="F320" s="110"/>
      <c r="G320" s="110"/>
      <c r="H320" s="111"/>
      <c r="I320" s="111"/>
      <c r="J320" s="111"/>
      <c r="K320" s="111"/>
      <c r="L320" s="111"/>
      <c r="M320" s="111"/>
      <c r="N320" s="111"/>
      <c r="O320" s="110"/>
      <c r="P320" s="42"/>
    </row>
    <row r="321" spans="1:16" x14ac:dyDescent="0.25">
      <c r="A321" s="73"/>
      <c r="B321" s="73"/>
      <c r="C321" s="109"/>
      <c r="D321" s="109"/>
      <c r="E321" s="73"/>
      <c r="F321" s="73"/>
      <c r="G321" s="73"/>
      <c r="H321" s="74"/>
      <c r="I321" s="74"/>
      <c r="J321" s="74"/>
      <c r="K321" s="74"/>
      <c r="L321" s="74"/>
      <c r="M321" s="74"/>
      <c r="N321" s="74"/>
      <c r="O321" s="73"/>
      <c r="P321" s="42"/>
    </row>
    <row r="322" spans="1:16" x14ac:dyDescent="0.25">
      <c r="A322" s="73"/>
      <c r="B322" s="73"/>
      <c r="C322" s="73"/>
      <c r="D322" s="109" t="s">
        <v>463</v>
      </c>
      <c r="E322" s="73"/>
      <c r="F322" s="73"/>
      <c r="G322" s="73"/>
      <c r="H322" s="74"/>
      <c r="I322" s="74"/>
      <c r="J322" s="74"/>
      <c r="K322" s="74"/>
      <c r="L322" s="74"/>
      <c r="M322" s="74"/>
      <c r="N322" s="74"/>
      <c r="O322" s="73"/>
      <c r="P322" s="42"/>
    </row>
    <row r="323" spans="1:16" x14ac:dyDescent="0.25">
      <c r="A323" s="73"/>
      <c r="B323" s="73"/>
      <c r="C323" s="73"/>
      <c r="D323" s="109" t="s">
        <v>464</v>
      </c>
      <c r="E323" s="73"/>
      <c r="F323" s="73"/>
      <c r="G323" s="73"/>
      <c r="H323" s="74"/>
      <c r="I323" s="74"/>
      <c r="J323" s="74"/>
      <c r="K323" s="74"/>
      <c r="L323" s="74"/>
      <c r="M323" s="74"/>
      <c r="N323" s="74"/>
      <c r="O323" s="73"/>
      <c r="P323" s="42"/>
    </row>
    <row r="324" spans="1:16" x14ac:dyDescent="0.25">
      <c r="A324" s="73"/>
      <c r="B324" s="73"/>
      <c r="C324" s="73"/>
      <c r="D324" s="109"/>
      <c r="E324" s="73"/>
      <c r="F324" s="73"/>
      <c r="G324" s="73"/>
      <c r="H324" s="74"/>
      <c r="I324" s="74"/>
      <c r="J324" s="74"/>
      <c r="K324" s="74"/>
      <c r="L324" s="74"/>
      <c r="M324" s="74"/>
      <c r="N324" s="74"/>
      <c r="O324" s="73"/>
      <c r="P324" s="42"/>
    </row>
    <row r="325" spans="1:16" x14ac:dyDescent="0.25">
      <c r="A325" s="115"/>
      <c r="B325" s="73"/>
      <c r="C325" s="73"/>
      <c r="D325" s="109"/>
      <c r="E325" s="112" t="s">
        <v>167</v>
      </c>
      <c r="F325" s="73"/>
      <c r="G325" s="73"/>
      <c r="H325" s="74"/>
      <c r="I325" s="132" t="s">
        <v>314</v>
      </c>
      <c r="J325" s="74"/>
      <c r="K325" s="74"/>
      <c r="L325" s="74"/>
      <c r="M325" s="74"/>
      <c r="N325" s="74"/>
      <c r="O325" s="115" t="s">
        <v>604</v>
      </c>
      <c r="P325" s="42"/>
    </row>
    <row r="326" spans="1:16" x14ac:dyDescent="0.25">
      <c r="A326" s="73"/>
      <c r="B326" s="73"/>
      <c r="C326" s="73"/>
      <c r="D326" s="73"/>
      <c r="E326" s="109"/>
      <c r="F326" s="113" t="s">
        <v>165</v>
      </c>
      <c r="G326" s="113" t="s">
        <v>438</v>
      </c>
      <c r="H326" s="36">
        <v>890000.00000000058</v>
      </c>
      <c r="I326" s="130"/>
      <c r="J326" s="130"/>
      <c r="K326" s="130"/>
      <c r="L326" s="130"/>
      <c r="M326" s="130"/>
      <c r="N326" s="74"/>
      <c r="O326" s="73"/>
      <c r="P326" s="42"/>
    </row>
    <row r="327" spans="1:16" x14ac:dyDescent="0.25">
      <c r="A327" s="73"/>
      <c r="B327" s="73"/>
      <c r="C327" s="73"/>
      <c r="D327" s="73"/>
      <c r="E327" s="73"/>
      <c r="F327" s="115" t="s">
        <v>41</v>
      </c>
      <c r="G327" s="115" t="s">
        <v>438</v>
      </c>
      <c r="H327" s="37">
        <v>0</v>
      </c>
      <c r="I327" s="130"/>
      <c r="J327" s="130"/>
      <c r="K327" s="130"/>
      <c r="L327" s="130"/>
      <c r="M327" s="130"/>
      <c r="N327" s="74"/>
      <c r="O327" s="73"/>
      <c r="P327" s="42"/>
    </row>
    <row r="328" spans="1:16" x14ac:dyDescent="0.25">
      <c r="A328" s="73"/>
      <c r="B328" s="73"/>
      <c r="C328" s="73"/>
      <c r="D328" s="73"/>
      <c r="E328" s="73"/>
      <c r="F328" s="115" t="s">
        <v>40</v>
      </c>
      <c r="G328" s="115" t="s">
        <v>438</v>
      </c>
      <c r="H328" s="37">
        <v>1160000.0000000002</v>
      </c>
      <c r="I328" s="130"/>
      <c r="J328" s="130"/>
      <c r="K328" s="130"/>
      <c r="L328" s="130"/>
      <c r="M328" s="130"/>
      <c r="N328" s="74"/>
      <c r="O328" s="73"/>
      <c r="P328" s="42"/>
    </row>
    <row r="329" spans="1:16" x14ac:dyDescent="0.25">
      <c r="A329" s="73"/>
      <c r="B329" s="73"/>
      <c r="C329" s="73"/>
      <c r="D329" s="73"/>
      <c r="E329" s="73"/>
      <c r="F329" s="117" t="s">
        <v>166</v>
      </c>
      <c r="G329" s="117" t="s">
        <v>438</v>
      </c>
      <c r="H329" s="38">
        <v>4900000</v>
      </c>
      <c r="I329" s="130"/>
      <c r="J329" s="130"/>
      <c r="K329" s="130"/>
      <c r="L329" s="130"/>
      <c r="M329" s="130"/>
      <c r="N329" s="74"/>
      <c r="O329" s="73"/>
      <c r="P329" s="42"/>
    </row>
    <row r="330" spans="1:16" x14ac:dyDescent="0.25">
      <c r="A330" s="73"/>
      <c r="B330" s="73"/>
      <c r="C330" s="73"/>
      <c r="D330" s="73"/>
      <c r="E330" s="73"/>
      <c r="F330" s="73"/>
      <c r="G330" s="73"/>
      <c r="H330" s="74"/>
      <c r="I330" s="74"/>
      <c r="J330" s="74"/>
      <c r="K330" s="74"/>
      <c r="L330" s="74"/>
      <c r="M330" s="74"/>
      <c r="N330" s="74"/>
      <c r="O330" s="73"/>
      <c r="P330" s="42"/>
    </row>
    <row r="331" spans="1:16" x14ac:dyDescent="0.25">
      <c r="A331" s="101"/>
      <c r="B331" s="101"/>
      <c r="C331" s="110" t="s">
        <v>628</v>
      </c>
      <c r="D331" s="110"/>
      <c r="E331" s="110"/>
      <c r="F331" s="110"/>
      <c r="G331" s="110"/>
      <c r="H331" s="111"/>
      <c r="I331" s="111"/>
      <c r="J331" s="111"/>
      <c r="K331" s="111"/>
      <c r="L331" s="111"/>
      <c r="M331" s="111"/>
      <c r="N331" s="111"/>
      <c r="O331" s="110"/>
      <c r="P331" s="42"/>
    </row>
    <row r="332" spans="1:16" x14ac:dyDescent="0.25">
      <c r="A332" s="73"/>
      <c r="B332" s="73"/>
      <c r="C332" s="109"/>
      <c r="D332" s="109"/>
      <c r="E332" s="73"/>
      <c r="F332" s="73"/>
      <c r="G332" s="73"/>
      <c r="H332" s="74"/>
      <c r="I332" s="74"/>
      <c r="J332" s="74"/>
      <c r="K332" s="74"/>
      <c r="L332" s="74"/>
      <c r="M332" s="74"/>
      <c r="N332" s="74"/>
      <c r="O332" s="73"/>
      <c r="P332" s="42"/>
    </row>
    <row r="333" spans="1:16" x14ac:dyDescent="0.25">
      <c r="A333" s="73"/>
      <c r="B333" s="73"/>
      <c r="C333" s="73"/>
      <c r="D333" s="109" t="s">
        <v>465</v>
      </c>
      <c r="E333" s="73"/>
      <c r="F333" s="73"/>
      <c r="G333" s="73"/>
      <c r="H333" s="74"/>
      <c r="I333" s="74"/>
      <c r="J333" s="74"/>
      <c r="K333" s="74"/>
      <c r="L333" s="74"/>
      <c r="M333" s="74"/>
      <c r="N333" s="74"/>
      <c r="O333" s="73"/>
      <c r="P333" s="42"/>
    </row>
    <row r="334" spans="1:16" x14ac:dyDescent="0.25">
      <c r="A334" s="73"/>
      <c r="B334" s="73"/>
      <c r="C334" s="73"/>
      <c r="D334" s="109" t="s">
        <v>684</v>
      </c>
      <c r="E334" s="73"/>
      <c r="F334" s="73"/>
      <c r="G334" s="73"/>
      <c r="H334" s="74"/>
      <c r="I334" s="74"/>
      <c r="J334" s="74"/>
      <c r="K334" s="74"/>
      <c r="L334" s="74"/>
      <c r="M334" s="74"/>
      <c r="N334" s="74"/>
      <c r="O334" s="73"/>
      <c r="P334" s="42"/>
    </row>
    <row r="335" spans="1:16" x14ac:dyDescent="0.25">
      <c r="A335" s="73"/>
      <c r="B335" s="73"/>
      <c r="C335" s="73"/>
      <c r="D335" s="109"/>
      <c r="E335" s="73"/>
      <c r="F335" s="73"/>
      <c r="G335" s="73"/>
      <c r="H335" s="74"/>
      <c r="I335" s="74"/>
      <c r="J335" s="74"/>
      <c r="K335" s="74"/>
      <c r="L335" s="74"/>
      <c r="M335" s="74"/>
      <c r="N335" s="74"/>
      <c r="O335" s="73"/>
      <c r="P335" s="42"/>
    </row>
    <row r="336" spans="1:16" x14ac:dyDescent="0.25">
      <c r="A336" s="115"/>
      <c r="B336" s="73"/>
      <c r="C336" s="73"/>
      <c r="D336" s="109"/>
      <c r="E336" s="112" t="s">
        <v>427</v>
      </c>
      <c r="F336" s="73"/>
      <c r="G336" s="73"/>
      <c r="H336" s="74"/>
      <c r="I336" s="132" t="s">
        <v>314</v>
      </c>
      <c r="J336" s="74"/>
      <c r="K336" s="74"/>
      <c r="L336" s="74"/>
      <c r="M336" s="74"/>
      <c r="N336" s="74"/>
      <c r="O336" s="115" t="s">
        <v>594</v>
      </c>
      <c r="P336" s="42"/>
    </row>
    <row r="337" spans="1:16" x14ac:dyDescent="0.25">
      <c r="A337" s="73"/>
      <c r="B337" s="73"/>
      <c r="C337" s="73"/>
      <c r="D337" s="73"/>
      <c r="E337" s="109"/>
      <c r="F337" s="113" t="s">
        <v>165</v>
      </c>
      <c r="G337" s="113" t="s">
        <v>439</v>
      </c>
      <c r="H337" s="36">
        <v>116690169.08763137</v>
      </c>
      <c r="I337" s="130"/>
      <c r="J337" s="130"/>
      <c r="K337" s="130"/>
      <c r="L337" s="130"/>
      <c r="M337" s="130"/>
      <c r="N337" s="74"/>
      <c r="O337" s="73"/>
      <c r="P337" s="42"/>
    </row>
    <row r="338" spans="1:16" x14ac:dyDescent="0.25">
      <c r="A338" s="73"/>
      <c r="B338" s="73"/>
      <c r="C338" s="73"/>
      <c r="D338" s="73"/>
      <c r="E338" s="73"/>
      <c r="F338" s="115" t="s">
        <v>168</v>
      </c>
      <c r="G338" s="115" t="s">
        <v>439</v>
      </c>
      <c r="H338" s="37">
        <v>34558479.357611723</v>
      </c>
      <c r="I338" s="130"/>
      <c r="J338" s="130"/>
      <c r="K338" s="130"/>
      <c r="L338" s="130"/>
      <c r="M338" s="130"/>
      <c r="N338" s="74"/>
      <c r="O338" s="73"/>
      <c r="P338" s="42"/>
    </row>
    <row r="339" spans="1:16" x14ac:dyDescent="0.25">
      <c r="A339" s="73"/>
      <c r="B339" s="73"/>
      <c r="C339" s="73"/>
      <c r="D339" s="73"/>
      <c r="E339" s="73"/>
      <c r="F339" s="115" t="s">
        <v>40</v>
      </c>
      <c r="G339" s="115" t="s">
        <v>439</v>
      </c>
      <c r="H339" s="37">
        <v>130450344.51140504</v>
      </c>
      <c r="I339" s="130"/>
      <c r="J339" s="130"/>
      <c r="K339" s="130"/>
      <c r="L339" s="130"/>
      <c r="M339" s="130"/>
      <c r="N339" s="74"/>
      <c r="O339" s="73"/>
      <c r="P339" s="42"/>
    </row>
    <row r="340" spans="1:16" x14ac:dyDescent="0.25">
      <c r="A340" s="73"/>
      <c r="B340" s="73"/>
      <c r="C340" s="73"/>
      <c r="D340" s="73"/>
      <c r="E340" s="73"/>
      <c r="F340" s="115" t="s">
        <v>37</v>
      </c>
      <c r="G340" s="115" t="s">
        <v>439</v>
      </c>
      <c r="H340" s="37">
        <v>73665828.71729888</v>
      </c>
      <c r="I340" s="130"/>
      <c r="J340" s="130"/>
      <c r="K340" s="130"/>
      <c r="L340" s="130"/>
      <c r="M340" s="130"/>
      <c r="N340" s="74"/>
      <c r="O340" s="73"/>
      <c r="P340" s="42"/>
    </row>
    <row r="341" spans="1:16" x14ac:dyDescent="0.25">
      <c r="A341" s="73"/>
      <c r="B341" s="73"/>
      <c r="C341" s="73"/>
      <c r="D341" s="73"/>
      <c r="E341" s="73"/>
      <c r="F341" s="117" t="s">
        <v>35</v>
      </c>
      <c r="G341" s="117" t="s">
        <v>439</v>
      </c>
      <c r="H341" s="38">
        <v>80156402.243089825</v>
      </c>
      <c r="I341" s="130"/>
      <c r="J341" s="130"/>
      <c r="K341" s="130"/>
      <c r="L341" s="130"/>
      <c r="M341" s="130"/>
      <c r="N341" s="74"/>
      <c r="O341" s="73"/>
      <c r="P341" s="42"/>
    </row>
    <row r="342" spans="1:16" x14ac:dyDescent="0.25">
      <c r="A342" s="73"/>
      <c r="B342" s="73"/>
      <c r="C342" s="73"/>
      <c r="D342" s="73"/>
      <c r="E342" s="73"/>
      <c r="F342" s="73"/>
      <c r="G342" s="73"/>
      <c r="H342" s="74"/>
      <c r="I342" s="74"/>
      <c r="J342" s="74"/>
      <c r="K342" s="74"/>
      <c r="L342" s="74"/>
      <c r="M342" s="74"/>
      <c r="N342" s="74"/>
      <c r="O342" s="73"/>
      <c r="P342" s="42"/>
    </row>
    <row r="343" spans="1:16" x14ac:dyDescent="0.25">
      <c r="A343" s="101"/>
      <c r="B343" s="101"/>
      <c r="C343" s="110" t="s">
        <v>629</v>
      </c>
      <c r="D343" s="110"/>
      <c r="E343" s="110"/>
      <c r="F343" s="110"/>
      <c r="G343" s="110"/>
      <c r="H343" s="111"/>
      <c r="I343" s="111"/>
      <c r="J343" s="111"/>
      <c r="K343" s="111"/>
      <c r="L343" s="111"/>
      <c r="M343" s="111"/>
      <c r="N343" s="111"/>
      <c r="O343" s="110"/>
      <c r="P343" s="42"/>
    </row>
    <row r="344" spans="1:16" x14ac:dyDescent="0.25">
      <c r="A344" s="73"/>
      <c r="B344" s="73"/>
      <c r="C344" s="109"/>
      <c r="D344" s="109"/>
      <c r="E344" s="73"/>
      <c r="F344" s="73"/>
      <c r="G344" s="73"/>
      <c r="H344" s="74"/>
      <c r="I344" s="74"/>
      <c r="J344" s="74"/>
      <c r="K344" s="74"/>
      <c r="L344" s="74"/>
      <c r="M344" s="74"/>
      <c r="N344" s="74"/>
      <c r="O344" s="73"/>
      <c r="P344" s="42"/>
    </row>
    <row r="345" spans="1:16" x14ac:dyDescent="0.25">
      <c r="A345" s="73"/>
      <c r="B345" s="73"/>
      <c r="C345" s="73"/>
      <c r="D345" s="109" t="s">
        <v>466</v>
      </c>
      <c r="E345" s="73"/>
      <c r="F345" s="73"/>
      <c r="G345" s="73"/>
      <c r="H345" s="74"/>
      <c r="I345" s="74"/>
      <c r="J345" s="74"/>
      <c r="K345" s="74"/>
      <c r="L345" s="74"/>
      <c r="M345" s="74"/>
      <c r="N345" s="74"/>
      <c r="O345" s="73"/>
      <c r="P345" s="42"/>
    </row>
    <row r="346" spans="1:16" x14ac:dyDescent="0.25">
      <c r="A346" s="73"/>
      <c r="B346" s="73"/>
      <c r="C346" s="73"/>
      <c r="D346" s="109" t="s">
        <v>467</v>
      </c>
      <c r="E346" s="73"/>
      <c r="F346" s="73"/>
      <c r="G346" s="73"/>
      <c r="H346" s="74"/>
      <c r="I346" s="74"/>
      <c r="J346" s="74"/>
      <c r="K346" s="74"/>
      <c r="L346" s="74"/>
      <c r="M346" s="74"/>
      <c r="N346" s="74"/>
      <c r="O346" s="73"/>
      <c r="P346" s="42"/>
    </row>
    <row r="347" spans="1:16" x14ac:dyDescent="0.25">
      <c r="A347" s="73"/>
      <c r="B347" s="73"/>
      <c r="C347" s="73"/>
      <c r="D347" s="109"/>
      <c r="E347" s="73"/>
      <c r="F347" s="73"/>
      <c r="G347" s="73"/>
      <c r="H347" s="74"/>
      <c r="I347" s="74"/>
      <c r="J347" s="74"/>
      <c r="K347" s="74"/>
      <c r="L347" s="74"/>
      <c r="M347" s="74"/>
      <c r="N347" s="74"/>
      <c r="O347" s="73"/>
      <c r="P347" s="42"/>
    </row>
    <row r="348" spans="1:16" x14ac:dyDescent="0.25">
      <c r="A348" s="115"/>
      <c r="B348" s="73"/>
      <c r="C348" s="73"/>
      <c r="D348" s="73"/>
      <c r="E348" s="115" t="s">
        <v>169</v>
      </c>
      <c r="F348" s="73"/>
      <c r="G348" s="115" t="s">
        <v>44</v>
      </c>
      <c r="H348" s="35">
        <v>0.27737839130950015</v>
      </c>
      <c r="I348" s="131" t="s">
        <v>314</v>
      </c>
      <c r="J348" s="135"/>
      <c r="K348" s="135"/>
      <c r="L348" s="135"/>
      <c r="M348" s="135"/>
      <c r="N348" s="74"/>
      <c r="O348" s="115" t="s">
        <v>571</v>
      </c>
      <c r="P348" s="42"/>
    </row>
    <row r="349" spans="1:16" x14ac:dyDescent="0.25">
      <c r="A349" s="73"/>
      <c r="B349" s="73"/>
      <c r="C349" s="73"/>
      <c r="D349" s="73"/>
      <c r="E349" s="109"/>
      <c r="F349" s="73"/>
      <c r="G349" s="73"/>
      <c r="H349" s="74"/>
      <c r="I349" s="74"/>
      <c r="J349" s="74"/>
      <c r="K349" s="74"/>
      <c r="L349" s="74"/>
      <c r="M349" s="74"/>
      <c r="N349" s="74"/>
      <c r="O349" s="73"/>
      <c r="P349" s="42"/>
    </row>
    <row r="350" spans="1:16" x14ac:dyDescent="0.25">
      <c r="A350" s="101"/>
      <c r="B350" s="101"/>
      <c r="C350" s="110" t="s">
        <v>706</v>
      </c>
      <c r="D350" s="110"/>
      <c r="E350" s="110"/>
      <c r="F350" s="110"/>
      <c r="G350" s="110"/>
      <c r="H350" s="111"/>
      <c r="I350" s="111"/>
      <c r="J350" s="111"/>
      <c r="K350" s="111"/>
      <c r="L350" s="111"/>
      <c r="M350" s="111"/>
      <c r="N350" s="111"/>
      <c r="O350" s="110"/>
      <c r="P350" s="42"/>
    </row>
    <row r="351" spans="1:16" x14ac:dyDescent="0.25">
      <c r="A351" s="73"/>
      <c r="B351" s="73"/>
      <c r="C351" s="109"/>
      <c r="D351" s="109"/>
      <c r="E351" s="73"/>
      <c r="F351" s="73"/>
      <c r="G351" s="73"/>
      <c r="H351" s="74"/>
      <c r="I351" s="74"/>
      <c r="J351" s="74"/>
      <c r="K351" s="74"/>
      <c r="L351" s="74"/>
      <c r="M351" s="74"/>
      <c r="N351" s="74"/>
      <c r="O351" s="73"/>
      <c r="P351" s="42"/>
    </row>
    <row r="352" spans="1:16" x14ac:dyDescent="0.25">
      <c r="A352" s="73"/>
      <c r="B352" s="73"/>
      <c r="C352" s="73"/>
      <c r="D352" s="109" t="s">
        <v>422</v>
      </c>
      <c r="E352" s="73"/>
      <c r="F352" s="73"/>
      <c r="G352" s="73"/>
      <c r="H352" s="74"/>
      <c r="I352" s="74"/>
      <c r="J352" s="74"/>
      <c r="K352" s="74"/>
      <c r="L352" s="74"/>
      <c r="M352" s="74"/>
      <c r="N352" s="74"/>
      <c r="O352" s="73"/>
      <c r="P352" s="42"/>
    </row>
    <row r="353" spans="1:16" x14ac:dyDescent="0.25">
      <c r="A353" s="73"/>
      <c r="B353" s="73"/>
      <c r="C353" s="73"/>
      <c r="D353" s="109"/>
      <c r="E353" s="73"/>
      <c r="F353" s="73"/>
      <c r="G353" s="73"/>
      <c r="H353" s="74"/>
      <c r="I353" s="74"/>
      <c r="J353" s="74"/>
      <c r="K353" s="74"/>
      <c r="L353" s="74"/>
      <c r="M353" s="74"/>
      <c r="N353" s="74"/>
      <c r="O353" s="73"/>
      <c r="P353" s="42"/>
    </row>
    <row r="354" spans="1:16" x14ac:dyDescent="0.25">
      <c r="A354" s="115"/>
      <c r="B354" s="73"/>
      <c r="C354" s="73"/>
      <c r="D354" s="109"/>
      <c r="E354" s="112" t="s">
        <v>170</v>
      </c>
      <c r="F354" s="73"/>
      <c r="G354" s="73"/>
      <c r="H354" s="74"/>
      <c r="I354" s="132" t="s">
        <v>314</v>
      </c>
      <c r="J354" s="74"/>
      <c r="K354" s="74"/>
      <c r="L354" s="74"/>
      <c r="M354" s="74"/>
      <c r="N354" s="74"/>
      <c r="O354" s="144" t="s">
        <v>595</v>
      </c>
      <c r="P354" s="42"/>
    </row>
    <row r="355" spans="1:16" x14ac:dyDescent="0.25">
      <c r="A355" s="73"/>
      <c r="B355" s="73"/>
      <c r="C355" s="73"/>
      <c r="D355" s="73"/>
      <c r="E355" s="109"/>
      <c r="F355" s="113" t="s">
        <v>171</v>
      </c>
      <c r="G355" s="113" t="s">
        <v>439</v>
      </c>
      <c r="H355" s="36">
        <v>290321179.89561594</v>
      </c>
      <c r="I355" s="130"/>
      <c r="J355" s="130"/>
      <c r="K355" s="130"/>
      <c r="L355" s="130"/>
      <c r="M355" s="130"/>
      <c r="N355" s="74"/>
      <c r="O355" s="73"/>
      <c r="P355" s="42"/>
    </row>
    <row r="356" spans="1:16" x14ac:dyDescent="0.25">
      <c r="A356" s="73"/>
      <c r="B356" s="73"/>
      <c r="C356" s="73"/>
      <c r="D356" s="73"/>
      <c r="E356" s="73"/>
      <c r="F356" s="115" t="s">
        <v>172</v>
      </c>
      <c r="G356" s="115" t="s">
        <v>439</v>
      </c>
      <c r="H356" s="37">
        <v>293900000.00000006</v>
      </c>
      <c r="I356" s="130"/>
      <c r="J356" s="130"/>
      <c r="K356" s="130"/>
      <c r="L356" s="130"/>
      <c r="M356" s="130"/>
      <c r="N356" s="74"/>
      <c r="O356" s="73"/>
      <c r="P356" s="42"/>
    </row>
    <row r="357" spans="1:16" x14ac:dyDescent="0.25">
      <c r="A357" s="73"/>
      <c r="B357" s="73"/>
      <c r="C357" s="73"/>
      <c r="D357" s="73"/>
      <c r="E357" s="73"/>
      <c r="F357" s="117" t="s">
        <v>173</v>
      </c>
      <c r="G357" s="117" t="s">
        <v>439</v>
      </c>
      <c r="H357" s="38">
        <v>316402000.00000006</v>
      </c>
      <c r="I357" s="130"/>
      <c r="J357" s="130"/>
      <c r="K357" s="130"/>
      <c r="L357" s="130"/>
      <c r="M357" s="130"/>
      <c r="N357" s="74"/>
      <c r="O357" s="73"/>
      <c r="P357" s="42"/>
    </row>
    <row r="358" spans="1:16" x14ac:dyDescent="0.25">
      <c r="A358" s="73"/>
      <c r="B358" s="73"/>
      <c r="C358" s="73"/>
      <c r="D358" s="73"/>
      <c r="E358" s="73"/>
      <c r="F358" s="73"/>
      <c r="G358" s="73"/>
      <c r="H358" s="74"/>
      <c r="I358" s="74"/>
      <c r="J358" s="74"/>
      <c r="K358" s="74"/>
      <c r="L358" s="74"/>
      <c r="M358" s="74"/>
      <c r="N358" s="74"/>
      <c r="O358" s="73"/>
      <c r="P358" s="42"/>
    </row>
    <row r="359" spans="1:16" x14ac:dyDescent="0.25">
      <c r="A359" s="101"/>
      <c r="B359" s="101"/>
      <c r="C359" s="110" t="s">
        <v>630</v>
      </c>
      <c r="D359" s="110"/>
      <c r="E359" s="110"/>
      <c r="F359" s="110"/>
      <c r="G359" s="110"/>
      <c r="H359" s="111"/>
      <c r="I359" s="111"/>
      <c r="J359" s="111"/>
      <c r="K359" s="111"/>
      <c r="L359" s="111"/>
      <c r="M359" s="111"/>
      <c r="N359" s="111"/>
      <c r="O359" s="110"/>
      <c r="P359" s="42"/>
    </row>
    <row r="360" spans="1:16" x14ac:dyDescent="0.25">
      <c r="A360" s="73"/>
      <c r="B360" s="73"/>
      <c r="C360" s="109"/>
      <c r="D360" s="109"/>
      <c r="E360" s="73"/>
      <c r="F360" s="73"/>
      <c r="G360" s="73"/>
      <c r="H360" s="74"/>
      <c r="I360" s="74"/>
      <c r="J360" s="74"/>
      <c r="K360" s="74"/>
      <c r="L360" s="74"/>
      <c r="M360" s="74"/>
      <c r="N360" s="74"/>
      <c r="O360" s="73"/>
      <c r="P360" s="42"/>
    </row>
    <row r="361" spans="1:16" x14ac:dyDescent="0.25">
      <c r="A361" s="73"/>
      <c r="B361" s="73"/>
      <c r="C361" s="73"/>
      <c r="D361" s="109" t="s">
        <v>423</v>
      </c>
      <c r="E361" s="73"/>
      <c r="F361" s="73"/>
      <c r="G361" s="73"/>
      <c r="H361" s="74"/>
      <c r="I361" s="74"/>
      <c r="J361" s="74"/>
      <c r="K361" s="74"/>
      <c r="L361" s="74"/>
      <c r="M361" s="74"/>
      <c r="N361" s="74"/>
      <c r="O361" s="73"/>
      <c r="P361" s="42"/>
    </row>
    <row r="362" spans="1:16" x14ac:dyDescent="0.25">
      <c r="A362" s="73"/>
      <c r="B362" s="73"/>
      <c r="C362" s="73"/>
      <c r="D362" s="109"/>
      <c r="E362" s="73"/>
      <c r="F362" s="73"/>
      <c r="G362" s="73"/>
      <c r="H362" s="74"/>
      <c r="I362" s="74"/>
      <c r="J362" s="74"/>
      <c r="K362" s="74"/>
      <c r="L362" s="74"/>
      <c r="M362" s="74"/>
      <c r="N362" s="74"/>
      <c r="O362" s="73"/>
      <c r="P362" s="42"/>
    </row>
    <row r="363" spans="1:16" x14ac:dyDescent="0.25">
      <c r="A363" s="115"/>
      <c r="B363" s="73"/>
      <c r="C363" s="73"/>
      <c r="D363" s="73"/>
      <c r="E363" s="115" t="s">
        <v>174</v>
      </c>
      <c r="F363" s="73"/>
      <c r="G363" s="115" t="s">
        <v>438</v>
      </c>
      <c r="H363" s="37">
        <v>219175380</v>
      </c>
      <c r="I363" s="143" t="s">
        <v>314</v>
      </c>
      <c r="J363" s="130"/>
      <c r="K363" s="130"/>
      <c r="L363" s="130"/>
      <c r="M363" s="130"/>
      <c r="N363" s="74"/>
      <c r="O363" s="115" t="s">
        <v>572</v>
      </c>
      <c r="P363" s="42"/>
    </row>
    <row r="364" spans="1:16" x14ac:dyDescent="0.25">
      <c r="A364" s="73"/>
      <c r="B364" s="73"/>
      <c r="C364" s="73"/>
      <c r="D364" s="73"/>
      <c r="E364" s="109"/>
      <c r="F364" s="73"/>
      <c r="G364" s="73"/>
      <c r="H364" s="74"/>
      <c r="I364" s="74"/>
      <c r="J364" s="74"/>
      <c r="K364" s="74"/>
      <c r="L364" s="74"/>
      <c r="M364" s="74"/>
      <c r="N364" s="74"/>
      <c r="O364" s="73"/>
      <c r="P364" s="42"/>
    </row>
    <row r="365" spans="1:16" x14ac:dyDescent="0.25">
      <c r="A365" s="101"/>
      <c r="B365" s="101"/>
      <c r="C365" s="110" t="s">
        <v>631</v>
      </c>
      <c r="D365" s="110"/>
      <c r="E365" s="110"/>
      <c r="F365" s="110"/>
      <c r="G365" s="110"/>
      <c r="H365" s="111"/>
      <c r="I365" s="111"/>
      <c r="J365" s="111"/>
      <c r="K365" s="111"/>
      <c r="L365" s="111"/>
      <c r="M365" s="111"/>
      <c r="N365" s="111"/>
      <c r="O365" s="110"/>
      <c r="P365" s="42"/>
    </row>
    <row r="366" spans="1:16" x14ac:dyDescent="0.25">
      <c r="A366" s="73"/>
      <c r="B366" s="73"/>
      <c r="C366" s="109"/>
      <c r="D366" s="109"/>
      <c r="E366" s="73"/>
      <c r="F366" s="73"/>
      <c r="G366" s="73"/>
      <c r="H366" s="74"/>
      <c r="I366" s="74"/>
      <c r="J366" s="74"/>
      <c r="K366" s="74"/>
      <c r="L366" s="74"/>
      <c r="M366" s="74"/>
      <c r="N366" s="74"/>
      <c r="O366" s="73"/>
      <c r="P366" s="42"/>
    </row>
    <row r="367" spans="1:16" x14ac:dyDescent="0.25">
      <c r="A367" s="73"/>
      <c r="B367" s="73"/>
      <c r="C367" s="73"/>
      <c r="D367" s="109" t="s">
        <v>724</v>
      </c>
      <c r="E367" s="73"/>
      <c r="F367" s="73"/>
      <c r="G367" s="73"/>
      <c r="H367" s="74"/>
      <c r="I367" s="74"/>
      <c r="J367" s="74"/>
      <c r="K367" s="74"/>
      <c r="L367" s="74"/>
      <c r="M367" s="74"/>
      <c r="N367" s="74"/>
      <c r="O367" s="73"/>
      <c r="P367" s="42"/>
    </row>
    <row r="368" spans="1:16" x14ac:dyDescent="0.25">
      <c r="A368" s="73"/>
      <c r="B368" s="73"/>
      <c r="C368" s="73"/>
      <c r="D368" s="109"/>
      <c r="E368" s="73"/>
      <c r="F368" s="73"/>
      <c r="G368" s="73"/>
      <c r="H368" s="74"/>
      <c r="I368" s="74"/>
      <c r="J368" s="74"/>
      <c r="K368" s="74"/>
      <c r="L368" s="74"/>
      <c r="M368" s="74"/>
      <c r="N368" s="74"/>
      <c r="O368" s="73"/>
      <c r="P368" s="42"/>
    </row>
    <row r="369" spans="1:16" x14ac:dyDescent="0.25">
      <c r="A369" s="115"/>
      <c r="B369" s="73"/>
      <c r="C369" s="73"/>
      <c r="D369" s="73"/>
      <c r="E369" s="115" t="s">
        <v>175</v>
      </c>
      <c r="F369" s="73"/>
      <c r="G369" s="115" t="s">
        <v>438</v>
      </c>
      <c r="H369" s="37">
        <v>7475332</v>
      </c>
      <c r="I369" s="143" t="s">
        <v>314</v>
      </c>
      <c r="J369" s="130"/>
      <c r="K369" s="130"/>
      <c r="L369" s="130"/>
      <c r="M369" s="130"/>
      <c r="N369" s="74"/>
      <c r="O369" s="115" t="s">
        <v>572</v>
      </c>
      <c r="P369" s="42"/>
    </row>
    <row r="370" spans="1:16" x14ac:dyDescent="0.25">
      <c r="A370" s="73"/>
      <c r="B370" s="73"/>
      <c r="C370" s="73"/>
      <c r="D370" s="73"/>
      <c r="E370" s="109"/>
      <c r="F370" s="73"/>
      <c r="G370" s="73"/>
      <c r="H370" s="74"/>
      <c r="I370" s="74"/>
      <c r="J370" s="74"/>
      <c r="K370" s="74"/>
      <c r="L370" s="74"/>
      <c r="M370" s="74"/>
      <c r="N370" s="74"/>
      <c r="O370" s="73"/>
      <c r="P370" s="42"/>
    </row>
    <row r="371" spans="1:16" x14ac:dyDescent="0.25">
      <c r="A371" s="101"/>
      <c r="B371" s="101"/>
      <c r="C371" s="110" t="s">
        <v>632</v>
      </c>
      <c r="D371" s="110"/>
      <c r="E371" s="110"/>
      <c r="F371" s="110"/>
      <c r="G371" s="110"/>
      <c r="H371" s="111"/>
      <c r="I371" s="111"/>
      <c r="J371" s="111"/>
      <c r="K371" s="111"/>
      <c r="L371" s="111"/>
      <c r="M371" s="111"/>
      <c r="N371" s="111"/>
      <c r="O371" s="110"/>
      <c r="P371" s="42"/>
    </row>
    <row r="372" spans="1:16" x14ac:dyDescent="0.25">
      <c r="A372" s="73"/>
      <c r="B372" s="73"/>
      <c r="C372" s="109"/>
      <c r="D372" s="109"/>
      <c r="E372" s="73"/>
      <c r="F372" s="73"/>
      <c r="G372" s="73"/>
      <c r="H372" s="74"/>
      <c r="I372" s="74"/>
      <c r="J372" s="74"/>
      <c r="K372" s="74"/>
      <c r="L372" s="74"/>
      <c r="M372" s="74"/>
      <c r="N372" s="74"/>
      <c r="O372" s="73"/>
      <c r="P372" s="42"/>
    </row>
    <row r="373" spans="1:16" x14ac:dyDescent="0.25">
      <c r="A373" s="73"/>
      <c r="B373" s="73"/>
      <c r="C373" s="73"/>
      <c r="D373" s="109" t="s">
        <v>468</v>
      </c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</row>
    <row r="374" spans="1:16" x14ac:dyDescent="0.25">
      <c r="A374" s="73"/>
      <c r="B374" s="73"/>
      <c r="C374" s="73"/>
      <c r="D374" s="109" t="s">
        <v>469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</row>
    <row r="375" spans="1:16" x14ac:dyDescent="0.25">
      <c r="A375" s="73"/>
      <c r="B375" s="73"/>
      <c r="C375" s="73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</row>
    <row r="376" spans="1:16" x14ac:dyDescent="0.25">
      <c r="A376" s="115"/>
      <c r="B376" s="73"/>
      <c r="C376" s="73"/>
      <c r="D376" s="73"/>
      <c r="E376" s="115" t="s">
        <v>347</v>
      </c>
      <c r="F376" s="73"/>
      <c r="G376" s="115" t="s">
        <v>438</v>
      </c>
      <c r="H376" s="37">
        <v>6129999.9999999991</v>
      </c>
      <c r="I376" s="143" t="s">
        <v>314</v>
      </c>
      <c r="J376" s="130"/>
      <c r="K376" s="130"/>
      <c r="L376" s="130"/>
      <c r="M376" s="130"/>
      <c r="N376" s="74"/>
      <c r="O376" s="115" t="s">
        <v>596</v>
      </c>
      <c r="P376" s="42"/>
    </row>
    <row r="377" spans="1:16" x14ac:dyDescent="0.25">
      <c r="A377" s="73"/>
      <c r="B377" s="73"/>
      <c r="C377" s="73"/>
      <c r="D377" s="73"/>
      <c r="E377" s="109"/>
      <c r="F377" s="73"/>
      <c r="G377" s="73"/>
      <c r="H377" s="74"/>
      <c r="I377" s="74"/>
      <c r="J377" s="74"/>
      <c r="K377" s="74"/>
      <c r="L377" s="74"/>
      <c r="M377" s="74"/>
      <c r="N377" s="74"/>
      <c r="O377" s="73"/>
      <c r="P377" s="42"/>
    </row>
    <row r="378" spans="1:16" x14ac:dyDescent="0.25">
      <c r="A378" s="101"/>
      <c r="B378" s="101"/>
      <c r="C378" s="110" t="s">
        <v>633</v>
      </c>
      <c r="D378" s="110"/>
      <c r="E378" s="110"/>
      <c r="F378" s="110"/>
      <c r="G378" s="110"/>
      <c r="H378" s="111"/>
      <c r="I378" s="111"/>
      <c r="J378" s="111"/>
      <c r="K378" s="111"/>
      <c r="L378" s="111"/>
      <c r="M378" s="111"/>
      <c r="N378" s="111"/>
      <c r="O378" s="110"/>
      <c r="P378" s="42"/>
    </row>
    <row r="379" spans="1:16" x14ac:dyDescent="0.25">
      <c r="A379" s="73"/>
      <c r="B379" s="73"/>
      <c r="C379" s="109"/>
      <c r="D379" s="109"/>
      <c r="E379" s="73"/>
      <c r="F379" s="73"/>
      <c r="G379" s="73"/>
      <c r="H379" s="74"/>
      <c r="I379" s="74"/>
      <c r="J379" s="74"/>
      <c r="K379" s="74"/>
      <c r="L379" s="74"/>
      <c r="M379" s="74"/>
      <c r="N379" s="74"/>
      <c r="O379" s="73"/>
      <c r="P379" s="42"/>
    </row>
    <row r="380" spans="1:16" x14ac:dyDescent="0.25">
      <c r="A380" s="73"/>
      <c r="B380" s="73"/>
      <c r="C380" s="73"/>
      <c r="D380" s="109" t="s">
        <v>425</v>
      </c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</row>
    <row r="381" spans="1:16" x14ac:dyDescent="0.25">
      <c r="A381" s="73"/>
      <c r="B381" s="73"/>
      <c r="C381" s="73"/>
      <c r="D381" s="109"/>
      <c r="E381" s="73"/>
      <c r="F381" s="73"/>
      <c r="G381" s="73"/>
      <c r="H381" s="74"/>
      <c r="I381" s="74"/>
      <c r="J381" s="74"/>
      <c r="K381" s="74"/>
      <c r="L381" s="74"/>
      <c r="M381" s="74"/>
      <c r="N381" s="74"/>
      <c r="O381" s="73"/>
      <c r="P381" s="42"/>
    </row>
    <row r="382" spans="1:16" x14ac:dyDescent="0.25">
      <c r="A382" s="115"/>
      <c r="B382" s="73"/>
      <c r="C382" s="73"/>
      <c r="D382" s="109"/>
      <c r="E382" s="112" t="s">
        <v>176</v>
      </c>
      <c r="F382" s="73"/>
      <c r="G382" s="73"/>
      <c r="H382" s="74"/>
      <c r="I382" s="132" t="s">
        <v>314</v>
      </c>
      <c r="J382" s="74"/>
      <c r="K382" s="74"/>
      <c r="L382" s="74"/>
      <c r="M382" s="74"/>
      <c r="N382" s="74"/>
      <c r="O382" s="115" t="s">
        <v>597</v>
      </c>
      <c r="P382" s="42"/>
    </row>
    <row r="383" spans="1:16" x14ac:dyDescent="0.25">
      <c r="A383" s="73"/>
      <c r="B383" s="73"/>
      <c r="C383" s="73"/>
      <c r="D383" s="73"/>
      <c r="E383" s="109"/>
      <c r="F383" s="113" t="s">
        <v>166</v>
      </c>
      <c r="G383" s="113" t="s">
        <v>177</v>
      </c>
      <c r="H383" s="36">
        <v>519.3929296</v>
      </c>
      <c r="I383" s="130"/>
      <c r="J383" s="130"/>
      <c r="K383" s="130"/>
      <c r="L383" s="130"/>
      <c r="M383" s="130"/>
      <c r="N383" s="74"/>
      <c r="O383" s="73"/>
      <c r="P383" s="42"/>
    </row>
    <row r="384" spans="1:16" x14ac:dyDescent="0.25">
      <c r="A384" s="73"/>
      <c r="B384" s="73"/>
      <c r="C384" s="73"/>
      <c r="D384" s="73"/>
      <c r="E384" s="73"/>
      <c r="F384" s="115" t="s">
        <v>40</v>
      </c>
      <c r="G384" s="115" t="s">
        <v>177</v>
      </c>
      <c r="H384" s="37">
        <v>3560.4307964999998</v>
      </c>
      <c r="I384" s="130"/>
      <c r="J384" s="130"/>
      <c r="K384" s="130"/>
      <c r="L384" s="130"/>
      <c r="M384" s="130"/>
      <c r="N384" s="74"/>
      <c r="O384" s="73"/>
      <c r="P384" s="42"/>
    </row>
    <row r="385" spans="1:16" x14ac:dyDescent="0.25">
      <c r="A385" s="73"/>
      <c r="B385" s="73"/>
      <c r="C385" s="73"/>
      <c r="D385" s="73"/>
      <c r="E385" s="73"/>
      <c r="F385" s="117" t="s">
        <v>165</v>
      </c>
      <c r="G385" s="117" t="s">
        <v>177</v>
      </c>
      <c r="H385" s="38">
        <v>11135.698339690003</v>
      </c>
      <c r="I385" s="130"/>
      <c r="J385" s="130"/>
      <c r="K385" s="130"/>
      <c r="L385" s="130"/>
      <c r="M385" s="130"/>
      <c r="N385" s="74"/>
      <c r="O385" s="73"/>
      <c r="P385" s="42"/>
    </row>
    <row r="386" spans="1:16" x14ac:dyDescent="0.25">
      <c r="A386" s="73"/>
      <c r="B386" s="73"/>
      <c r="C386" s="73"/>
      <c r="D386" s="73"/>
      <c r="E386" s="73"/>
      <c r="F386" s="73"/>
      <c r="G386" s="73"/>
      <c r="H386" s="74"/>
      <c r="I386" s="74"/>
      <c r="J386" s="74"/>
      <c r="K386" s="74"/>
      <c r="L386" s="74"/>
      <c r="M386" s="74"/>
      <c r="N386" s="74"/>
      <c r="O386" s="73"/>
      <c r="P386" s="42"/>
    </row>
    <row r="387" spans="1:16" x14ac:dyDescent="0.25">
      <c r="A387" s="73"/>
      <c r="B387" s="101"/>
      <c r="C387" s="110" t="s">
        <v>634</v>
      </c>
      <c r="D387" s="110"/>
      <c r="E387" s="110"/>
      <c r="F387" s="110"/>
      <c r="G387" s="110"/>
      <c r="H387" s="111"/>
      <c r="I387" s="111"/>
      <c r="J387" s="111"/>
      <c r="K387" s="111"/>
      <c r="L387" s="111"/>
      <c r="M387" s="111"/>
      <c r="N387" s="111"/>
      <c r="O387" s="110"/>
      <c r="P387" s="42"/>
    </row>
    <row r="388" spans="1:16" x14ac:dyDescent="0.25">
      <c r="A388" s="73"/>
      <c r="B388" s="73"/>
      <c r="C388" s="109"/>
      <c r="D388" s="109"/>
      <c r="E388" s="73"/>
      <c r="F388" s="73"/>
      <c r="G388" s="73"/>
      <c r="H388" s="74"/>
      <c r="I388" s="74"/>
      <c r="J388" s="74"/>
      <c r="K388" s="74"/>
      <c r="L388" s="74"/>
      <c r="M388" s="74"/>
      <c r="N388" s="74"/>
      <c r="O388" s="73"/>
      <c r="P388" s="42"/>
    </row>
    <row r="389" spans="1:16" x14ac:dyDescent="0.25">
      <c r="A389" s="73"/>
      <c r="B389" s="73"/>
      <c r="C389" s="73"/>
      <c r="D389" s="109" t="s">
        <v>426</v>
      </c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</row>
    <row r="390" spans="1:16" x14ac:dyDescent="0.25">
      <c r="A390" s="73"/>
      <c r="B390" s="73"/>
      <c r="C390" s="73"/>
      <c r="D390" s="109"/>
      <c r="E390" s="73"/>
      <c r="F390" s="73"/>
      <c r="G390" s="73"/>
      <c r="H390" s="74"/>
      <c r="I390" s="74"/>
      <c r="J390" s="74"/>
      <c r="K390" s="74"/>
      <c r="L390" s="74"/>
      <c r="M390" s="74"/>
      <c r="N390" s="74"/>
      <c r="O390" s="73"/>
      <c r="P390" s="42"/>
    </row>
    <row r="391" spans="1:16" x14ac:dyDescent="0.25">
      <c r="A391" s="73"/>
      <c r="B391" s="73"/>
      <c r="C391" s="73"/>
      <c r="D391" s="73"/>
      <c r="E391" s="115" t="s">
        <v>424</v>
      </c>
      <c r="F391" s="73"/>
      <c r="G391" s="115" t="s">
        <v>177</v>
      </c>
      <c r="H391" s="37">
        <v>1023.462</v>
      </c>
      <c r="I391" s="143" t="s">
        <v>314</v>
      </c>
      <c r="J391" s="130"/>
      <c r="K391" s="130"/>
      <c r="L391" s="130"/>
      <c r="M391" s="130"/>
      <c r="N391" s="74"/>
      <c r="O391" s="148" t="s">
        <v>568</v>
      </c>
      <c r="P391" s="42"/>
    </row>
    <row r="392" spans="1:16" x14ac:dyDescent="0.25">
      <c r="A392" s="73"/>
      <c r="B392" s="73"/>
      <c r="C392" s="73"/>
      <c r="D392" s="73"/>
      <c r="E392" s="109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</row>
    <row r="393" spans="1:16" x14ac:dyDescent="0.25">
      <c r="A393" s="101"/>
      <c r="B393" s="107" t="s">
        <v>30</v>
      </c>
      <c r="C393" s="107"/>
      <c r="D393" s="107"/>
      <c r="E393" s="107"/>
      <c r="F393" s="107"/>
      <c r="G393" s="107"/>
      <c r="H393" s="108"/>
      <c r="I393" s="108"/>
      <c r="J393" s="108"/>
      <c r="K393" s="108"/>
      <c r="L393" s="108"/>
      <c r="M393" s="108"/>
      <c r="N393" s="108"/>
      <c r="O393" s="107"/>
      <c r="P393" s="42"/>
    </row>
  </sheetData>
  <sheetProtection formatCells="0" formatColumns="0" formatRows="0" sort="0" autoFilter="0"/>
  <dataValidations count="3">
    <dataValidation allowBlank="1" showInputMessage="1" showErrorMessage="1" errorTitle="Percentage validation" error="Input value must be between 0% and 100%" promptTitle="Percentage validation" prompt="Input value restricted to be between 0% and 100%" sqref="H348"/>
    <dataValidation type="decimal" operator="lessThanOrEqual" allowBlank="1" showInputMessage="1" showErrorMessage="1" errorTitle="HV split" error="Input value less than or equal to 100%" promptTitle="HV split" prompt="Maximum value 100%" sqref="H26">
      <formula1>1</formula1>
    </dataValidation>
    <dataValidation type="decimal" operator="greaterThanOrEqual" allowBlank="1" showInputMessage="1" showErrorMessage="1" errorTitle="LV mains split" error="Insert value greater than or equal to 0%" promptTitle="LV mains split" prompt="Minimum value 0%" sqref="H19">
      <formula1>0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59999389629810485"/>
  </sheetPr>
  <dimension ref="A1:CS14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94" width="20.7109375" customWidth="1"/>
    <col min="95" max="95" width="2.7109375" customWidth="1"/>
    <col min="96" max="96" width="40.7109375" customWidth="1"/>
    <col min="97" max="97" width="2.7109375" customWidth="1"/>
    <col min="98" max="16384" width="9.140625" hidden="1"/>
  </cols>
  <sheetData>
    <row r="1" spans="1:97" x14ac:dyDescent="0.25">
      <c r="A1" s="96" t="str">
        <f ca="1">MID(CELL("filename",A1),FIND("]",CELL("filename",A1))+1,255)</f>
        <v>MEAV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6"/>
      <c r="CS1" s="94"/>
    </row>
    <row r="2" spans="1:97" x14ac:dyDescent="0.25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6"/>
      <c r="CS2" s="94"/>
    </row>
    <row r="3" spans="1:97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99"/>
      <c r="CS3" s="95"/>
    </row>
    <row r="4" spans="1:97" s="1" customFormat="1" x14ac:dyDescent="0.25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</row>
    <row r="5" spans="1:97" ht="4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197</v>
      </c>
      <c r="K5" s="104" t="s">
        <v>199</v>
      </c>
      <c r="L5" s="104" t="s">
        <v>50</v>
      </c>
      <c r="M5" s="104" t="s">
        <v>200</v>
      </c>
      <c r="N5" s="104" t="s">
        <v>201</v>
      </c>
      <c r="O5" s="104" t="s">
        <v>202</v>
      </c>
      <c r="P5" s="104" t="s">
        <v>203</v>
      </c>
      <c r="Q5" s="104" t="s">
        <v>204</v>
      </c>
      <c r="R5" s="104" t="s">
        <v>205</v>
      </c>
      <c r="S5" s="104" t="s">
        <v>206</v>
      </c>
      <c r="T5" s="104" t="s">
        <v>207</v>
      </c>
      <c r="U5" s="104" t="s">
        <v>208</v>
      </c>
      <c r="V5" s="104" t="s">
        <v>209</v>
      </c>
      <c r="W5" s="104" t="s">
        <v>368</v>
      </c>
      <c r="X5" s="104" t="s">
        <v>369</v>
      </c>
      <c r="Y5" s="104" t="s">
        <v>370</v>
      </c>
      <c r="Z5" s="104" t="s">
        <v>371</v>
      </c>
      <c r="AA5" s="104" t="s">
        <v>64</v>
      </c>
      <c r="AB5" s="104" t="s">
        <v>65</v>
      </c>
      <c r="AC5" s="104" t="s">
        <v>210</v>
      </c>
      <c r="AD5" s="104" t="s">
        <v>211</v>
      </c>
      <c r="AE5" s="104" t="s">
        <v>212</v>
      </c>
      <c r="AF5" s="104" t="s">
        <v>372</v>
      </c>
      <c r="AG5" s="104" t="s">
        <v>373</v>
      </c>
      <c r="AH5" s="104" t="s">
        <v>71</v>
      </c>
      <c r="AI5" s="104" t="s">
        <v>72</v>
      </c>
      <c r="AJ5" s="104" t="s">
        <v>73</v>
      </c>
      <c r="AK5" s="104" t="s">
        <v>374</v>
      </c>
      <c r="AL5" s="104" t="s">
        <v>375</v>
      </c>
      <c r="AM5" s="104" t="s">
        <v>376</v>
      </c>
      <c r="AN5" s="104" t="s">
        <v>377</v>
      </c>
      <c r="AO5" s="104" t="s">
        <v>378</v>
      </c>
      <c r="AP5" s="104" t="s">
        <v>379</v>
      </c>
      <c r="AQ5" s="104" t="s">
        <v>80</v>
      </c>
      <c r="AR5" s="104" t="s">
        <v>380</v>
      </c>
      <c r="AS5" s="104" t="s">
        <v>381</v>
      </c>
      <c r="AT5" s="104" t="s">
        <v>382</v>
      </c>
      <c r="AU5" s="104" t="s">
        <v>383</v>
      </c>
      <c r="AV5" s="104" t="s">
        <v>384</v>
      </c>
      <c r="AW5" s="104" t="s">
        <v>385</v>
      </c>
      <c r="AX5" s="104" t="s">
        <v>213</v>
      </c>
      <c r="AY5" s="104" t="s">
        <v>214</v>
      </c>
      <c r="AZ5" s="104" t="s">
        <v>215</v>
      </c>
      <c r="BA5" s="104" t="s">
        <v>216</v>
      </c>
      <c r="BB5" s="104" t="s">
        <v>91</v>
      </c>
      <c r="BC5" s="104" t="s">
        <v>92</v>
      </c>
      <c r="BD5" s="104" t="s">
        <v>93</v>
      </c>
      <c r="BE5" s="104" t="s">
        <v>94</v>
      </c>
      <c r="BF5" s="104" t="s">
        <v>217</v>
      </c>
      <c r="BG5" s="104" t="s">
        <v>218</v>
      </c>
      <c r="BH5" s="104" t="s">
        <v>219</v>
      </c>
      <c r="BI5" s="104" t="s">
        <v>220</v>
      </c>
      <c r="BJ5" s="104" t="s">
        <v>221</v>
      </c>
      <c r="BK5" s="104" t="s">
        <v>222</v>
      </c>
      <c r="BL5" s="104" t="s">
        <v>223</v>
      </c>
      <c r="BM5" s="104" t="s">
        <v>386</v>
      </c>
      <c r="BN5" s="104" t="s">
        <v>387</v>
      </c>
      <c r="BO5" s="104" t="s">
        <v>388</v>
      </c>
      <c r="BP5" s="104" t="s">
        <v>389</v>
      </c>
      <c r="BQ5" s="104" t="s">
        <v>106</v>
      </c>
      <c r="BR5" s="104" t="s">
        <v>107</v>
      </c>
      <c r="BS5" s="104" t="s">
        <v>390</v>
      </c>
      <c r="BT5" s="104" t="s">
        <v>109</v>
      </c>
      <c r="BU5" s="104" t="s">
        <v>391</v>
      </c>
      <c r="BV5" s="104" t="s">
        <v>392</v>
      </c>
      <c r="BW5" s="104" t="s">
        <v>112</v>
      </c>
      <c r="BX5" s="104" t="s">
        <v>113</v>
      </c>
      <c r="BY5" s="104" t="s">
        <v>114</v>
      </c>
      <c r="BZ5" s="104" t="s">
        <v>224</v>
      </c>
      <c r="CA5" s="104" t="s">
        <v>225</v>
      </c>
      <c r="CB5" s="104" t="s">
        <v>117</v>
      </c>
      <c r="CC5" s="104" t="s">
        <v>118</v>
      </c>
      <c r="CD5" s="104" t="s">
        <v>119</v>
      </c>
      <c r="CE5" s="104" t="s">
        <v>226</v>
      </c>
      <c r="CF5" s="104" t="s">
        <v>227</v>
      </c>
      <c r="CG5" s="104" t="s">
        <v>228</v>
      </c>
      <c r="CH5" s="104" t="s">
        <v>367</v>
      </c>
      <c r="CI5" s="104" t="s">
        <v>393</v>
      </c>
      <c r="CJ5" s="104" t="s">
        <v>125</v>
      </c>
      <c r="CK5" s="104" t="s">
        <v>126</v>
      </c>
      <c r="CL5" s="104" t="s">
        <v>127</v>
      </c>
      <c r="CM5" s="104" t="s">
        <v>394</v>
      </c>
      <c r="CN5" s="104" t="s">
        <v>395</v>
      </c>
      <c r="CO5" s="104" t="s">
        <v>229</v>
      </c>
      <c r="CP5" s="104" t="s">
        <v>230</v>
      </c>
      <c r="CQ5" s="129"/>
      <c r="CR5" s="103" t="s">
        <v>34</v>
      </c>
      <c r="CS5" s="42"/>
    </row>
    <row r="6" spans="1:9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3"/>
      <c r="CS6" s="42"/>
    </row>
    <row r="7" spans="1:9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7"/>
      <c r="CS7" s="42"/>
    </row>
    <row r="8" spans="1:9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3"/>
      <c r="CS8" s="42"/>
    </row>
    <row r="9" spans="1:97" x14ac:dyDescent="0.25">
      <c r="A9" s="73"/>
      <c r="B9" s="73"/>
      <c r="C9" s="109" t="s">
        <v>459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3"/>
      <c r="CS9" s="42"/>
    </row>
    <row r="10" spans="1:97" x14ac:dyDescent="0.25">
      <c r="A10" s="73"/>
      <c r="B10" s="73"/>
      <c r="C10" s="109" t="s">
        <v>460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3"/>
      <c r="CS10" s="42"/>
    </row>
    <row r="11" spans="1:97" x14ac:dyDescent="0.25">
      <c r="A11" s="73"/>
      <c r="B11" s="73"/>
      <c r="C11" s="109" t="s">
        <v>730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3"/>
      <c r="CS11" s="42"/>
    </row>
    <row r="12" spans="1:9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3"/>
      <c r="CS12" s="42"/>
    </row>
    <row r="13" spans="1:97" x14ac:dyDescent="0.25">
      <c r="A13" s="73"/>
      <c r="B13" s="107" t="s">
        <v>22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7"/>
      <c r="CS13" s="42"/>
    </row>
    <row r="14" spans="1:97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3"/>
      <c r="CS14" s="42"/>
    </row>
    <row r="15" spans="1:97" x14ac:dyDescent="0.25">
      <c r="A15" s="73"/>
      <c r="B15" s="73"/>
      <c r="C15" s="109" t="s">
        <v>501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3"/>
      <c r="CS15" s="42"/>
    </row>
    <row r="16" spans="1:97" x14ac:dyDescent="0.25">
      <c r="A16" s="73"/>
      <c r="B16" s="73"/>
      <c r="C16" s="109" t="s">
        <v>685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3"/>
      <c r="CS16" s="42"/>
    </row>
    <row r="17" spans="1:9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3"/>
      <c r="CS17" s="42"/>
    </row>
    <row r="18" spans="1:97" x14ac:dyDescent="0.25">
      <c r="A18" s="73"/>
      <c r="B18" s="101"/>
      <c r="C18" s="110" t="s">
        <v>637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0"/>
      <c r="CS18" s="42"/>
    </row>
    <row r="19" spans="1:97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3"/>
      <c r="CS19" s="42"/>
    </row>
    <row r="20" spans="1:97" x14ac:dyDescent="0.25">
      <c r="A20" s="73"/>
      <c r="B20" s="73"/>
      <c r="C20" s="73"/>
      <c r="D20" s="109"/>
      <c r="E20" s="115" t="str">
        <f>'DNO inputs'!E60</f>
        <v>MEAV asset count (km if noted), by asset type</v>
      </c>
      <c r="F20" s="73"/>
      <c r="G20" s="115" t="str">
        <f>'DNO inputs'!G61</f>
        <v>units</v>
      </c>
      <c r="H20" s="130"/>
      <c r="I20" s="130"/>
      <c r="J20" s="152">
        <f>'DNO inputs'!H61</f>
        <v>7448</v>
      </c>
      <c r="K20" s="152">
        <f>'DNO inputs'!H62</f>
        <v>442000</v>
      </c>
      <c r="L20" s="152">
        <f>'DNO inputs'!H63</f>
        <v>198165</v>
      </c>
      <c r="M20" s="152">
        <f>'DNO inputs'!H64</f>
        <v>2727.8220000000001</v>
      </c>
      <c r="N20" s="152">
        <f>'DNO inputs'!H65</f>
        <v>4957.2</v>
      </c>
      <c r="O20" s="152">
        <f>'DNO inputs'!H66</f>
        <v>6391.3</v>
      </c>
      <c r="P20" s="152">
        <f>'DNO inputs'!H67</f>
        <v>1091923</v>
      </c>
      <c r="Q20" s="152">
        <f>'DNO inputs'!H68</f>
        <v>6864</v>
      </c>
      <c r="R20" s="152">
        <f>'DNO inputs'!H69</f>
        <v>3328</v>
      </c>
      <c r="S20" s="152">
        <f>'DNO inputs'!H70</f>
        <v>1579</v>
      </c>
      <c r="T20" s="152">
        <f>'DNO inputs'!H71</f>
        <v>11751</v>
      </c>
      <c r="U20" s="152">
        <f>'DNO inputs'!H72</f>
        <v>37881</v>
      </c>
      <c r="V20" s="152">
        <f>'DNO inputs'!H73</f>
        <v>858</v>
      </c>
      <c r="W20" s="152">
        <f>'DNO inputs'!H74</f>
        <v>16591</v>
      </c>
      <c r="X20" s="152">
        <f>'DNO inputs'!H75</f>
        <v>0</v>
      </c>
      <c r="Y20" s="152">
        <f>'DNO inputs'!H76</f>
        <v>0</v>
      </c>
      <c r="Z20" s="152">
        <f>'DNO inputs'!H77</f>
        <v>0</v>
      </c>
      <c r="AA20" s="152">
        <f>'DNO inputs'!H78</f>
        <v>213168</v>
      </c>
      <c r="AB20" s="152">
        <f>'DNO inputs'!H79</f>
        <v>0</v>
      </c>
      <c r="AC20" s="152">
        <f>'DNO inputs'!H80</f>
        <v>6617.3</v>
      </c>
      <c r="AD20" s="152">
        <f>'DNO inputs'!H81</f>
        <v>0</v>
      </c>
      <c r="AE20" s="152">
        <f>'DNO inputs'!H82</f>
        <v>20</v>
      </c>
      <c r="AF20" s="152">
        <f>'DNO inputs'!H83</f>
        <v>697</v>
      </c>
      <c r="AG20" s="152">
        <f>'DNO inputs'!H84</f>
        <v>4133</v>
      </c>
      <c r="AH20" s="152">
        <f>'DNO inputs'!H85</f>
        <v>140</v>
      </c>
      <c r="AI20" s="152">
        <f>'DNO inputs'!H86</f>
        <v>8698</v>
      </c>
      <c r="AJ20" s="152">
        <f>'DNO inputs'!H87</f>
        <v>7141</v>
      </c>
      <c r="AK20" s="152">
        <f>'DNO inputs'!H88</f>
        <v>23664</v>
      </c>
      <c r="AL20" s="152">
        <f>'DNO inputs'!H89</f>
        <v>21</v>
      </c>
      <c r="AM20" s="152">
        <f>'DNO inputs'!H90</f>
        <v>0</v>
      </c>
      <c r="AN20" s="152">
        <f>'DNO inputs'!H91</f>
        <v>0</v>
      </c>
      <c r="AO20" s="152">
        <f>'DNO inputs'!H92</f>
        <v>0</v>
      </c>
      <c r="AP20" s="152">
        <f>'DNO inputs'!H93</f>
        <v>0</v>
      </c>
      <c r="AQ20" s="152">
        <f>'DNO inputs'!H94</f>
        <v>0</v>
      </c>
      <c r="AR20" s="152">
        <f>'DNO inputs'!H95</f>
        <v>0</v>
      </c>
      <c r="AS20" s="152">
        <f>'DNO inputs'!H96</f>
        <v>0</v>
      </c>
      <c r="AT20" s="152">
        <f>'DNO inputs'!H97</f>
        <v>38122</v>
      </c>
      <c r="AU20" s="152">
        <f>'DNO inputs'!H98</f>
        <v>12901</v>
      </c>
      <c r="AV20" s="152">
        <f>'DNO inputs'!H99</f>
        <v>0</v>
      </c>
      <c r="AW20" s="152">
        <f>'DNO inputs'!H100</f>
        <v>0</v>
      </c>
      <c r="AX20" s="152">
        <f>'DNO inputs'!H101</f>
        <v>2808</v>
      </c>
      <c r="AY20" s="152">
        <f>'DNO inputs'!H102</f>
        <v>101</v>
      </c>
      <c r="AZ20" s="152">
        <f>'DNO inputs'!H103</f>
        <v>0</v>
      </c>
      <c r="BA20" s="152">
        <f>'DNO inputs'!H104</f>
        <v>0</v>
      </c>
      <c r="BB20" s="152">
        <f>'DNO inputs'!H105</f>
        <v>29358</v>
      </c>
      <c r="BC20" s="152">
        <f>'DNO inputs'!H106</f>
        <v>431</v>
      </c>
      <c r="BD20" s="152">
        <f>'DNO inputs'!H107</f>
        <v>0</v>
      </c>
      <c r="BE20" s="152">
        <f>'DNO inputs'!H108</f>
        <v>0</v>
      </c>
      <c r="BF20" s="152">
        <f>'DNO inputs'!H109</f>
        <v>767.17</v>
      </c>
      <c r="BG20" s="152">
        <f>'DNO inputs'!H110</f>
        <v>63.135000000000005</v>
      </c>
      <c r="BH20" s="152">
        <f>'DNO inputs'!H111</f>
        <v>34</v>
      </c>
      <c r="BI20" s="152">
        <f>'DNO inputs'!H112</f>
        <v>0</v>
      </c>
      <c r="BJ20" s="152">
        <f>'DNO inputs'!H113</f>
        <v>0</v>
      </c>
      <c r="BK20" s="152">
        <f>'DNO inputs'!H114</f>
        <v>0</v>
      </c>
      <c r="BL20" s="152">
        <f>'DNO inputs'!H115</f>
        <v>66</v>
      </c>
      <c r="BM20" s="152">
        <f>'DNO inputs'!H116</f>
        <v>296</v>
      </c>
      <c r="BN20" s="152">
        <f>'DNO inputs'!H117</f>
        <v>675</v>
      </c>
      <c r="BO20" s="152">
        <f>'DNO inputs'!H118</f>
        <v>14</v>
      </c>
      <c r="BP20" s="152">
        <f>'DNO inputs'!H119</f>
        <v>0</v>
      </c>
      <c r="BQ20" s="152">
        <f>'DNO inputs'!H120</f>
        <v>2</v>
      </c>
      <c r="BR20" s="152">
        <f>'DNO inputs'!H121</f>
        <v>3273</v>
      </c>
      <c r="BS20" s="152">
        <f>'DNO inputs'!H122</f>
        <v>0</v>
      </c>
      <c r="BT20" s="152">
        <f>'DNO inputs'!H123</f>
        <v>0</v>
      </c>
      <c r="BU20" s="152">
        <f>'DNO inputs'!H124</f>
        <v>1</v>
      </c>
      <c r="BV20" s="152">
        <f>'DNO inputs'!H125</f>
        <v>587</v>
      </c>
      <c r="BW20" s="152">
        <f>'DNO inputs'!H126</f>
        <v>189</v>
      </c>
      <c r="BX20" s="152">
        <f>'DNO inputs'!H127</f>
        <v>0</v>
      </c>
      <c r="BY20" s="152">
        <f>'DNO inputs'!H128</f>
        <v>0</v>
      </c>
      <c r="BZ20" s="152">
        <f>'DNO inputs'!H129</f>
        <v>62.1</v>
      </c>
      <c r="CA20" s="152">
        <f>'DNO inputs'!H130</f>
        <v>1382</v>
      </c>
      <c r="CB20" s="152">
        <f>'DNO inputs'!H131</f>
        <v>558</v>
      </c>
      <c r="CC20" s="152">
        <f>'DNO inputs'!H132</f>
        <v>3100</v>
      </c>
      <c r="CD20" s="152">
        <f>'DNO inputs'!H133</f>
        <v>4710</v>
      </c>
      <c r="CE20" s="152">
        <f>'DNO inputs'!H134</f>
        <v>7.93</v>
      </c>
      <c r="CF20" s="152">
        <f>'DNO inputs'!H135</f>
        <v>67.5</v>
      </c>
      <c r="CG20" s="152">
        <f>'DNO inputs'!H136</f>
        <v>0</v>
      </c>
      <c r="CH20" s="152">
        <f>'DNO inputs'!H137</f>
        <v>0</v>
      </c>
      <c r="CI20" s="152">
        <f>'DNO inputs'!H138</f>
        <v>153</v>
      </c>
      <c r="CJ20" s="152">
        <f>'DNO inputs'!H139</f>
        <v>856</v>
      </c>
      <c r="CK20" s="152">
        <f>'DNO inputs'!H140</f>
        <v>94</v>
      </c>
      <c r="CL20" s="152">
        <f>'DNO inputs'!H141</f>
        <v>161</v>
      </c>
      <c r="CM20" s="152">
        <f>'DNO inputs'!H142</f>
        <v>0</v>
      </c>
      <c r="CN20" s="152">
        <f>'DNO inputs'!H143</f>
        <v>393</v>
      </c>
      <c r="CO20" s="152">
        <f>'DNO inputs'!H144</f>
        <v>1747</v>
      </c>
      <c r="CP20" s="152">
        <f>'DNO inputs'!H145</f>
        <v>155</v>
      </c>
      <c r="CQ20" s="74"/>
      <c r="CR20" s="73"/>
      <c r="CS20" s="42"/>
    </row>
    <row r="21" spans="1:97" x14ac:dyDescent="0.25">
      <c r="A21" s="73"/>
      <c r="B21" s="73"/>
      <c r="C21" s="73"/>
      <c r="D21" s="73"/>
      <c r="E21" s="115" t="str">
        <f>'DNO inputs'!E151</f>
        <v>MEAV per unit, by asset type</v>
      </c>
      <c r="F21" s="73"/>
      <c r="G21" s="115" t="str">
        <f>'DNO inputs'!G152</f>
        <v>£ per unit</v>
      </c>
      <c r="H21" s="130"/>
      <c r="I21" s="130"/>
      <c r="J21" s="152">
        <f>'DNO inputs'!H152</f>
        <v>19440</v>
      </c>
      <c r="K21" s="152">
        <f>'DNO inputs'!H153</f>
        <v>310</v>
      </c>
      <c r="L21" s="152">
        <f>'DNO inputs'!H154</f>
        <v>1880</v>
      </c>
      <c r="M21" s="152">
        <f>'DNO inputs'!H155</f>
        <v>75860</v>
      </c>
      <c r="N21" s="152">
        <f>'DNO inputs'!H156</f>
        <v>67220</v>
      </c>
      <c r="O21" s="152">
        <f>'DNO inputs'!H157</f>
        <v>75860</v>
      </c>
      <c r="P21" s="152">
        <f>'DNO inputs'!H158</f>
        <v>700</v>
      </c>
      <c r="Q21" s="152">
        <f>'DNO inputs'!H159</f>
        <v>7940</v>
      </c>
      <c r="R21" s="152">
        <f>'DNO inputs'!H160</f>
        <v>8360</v>
      </c>
      <c r="S21" s="152">
        <f>'DNO inputs'!H161</f>
        <v>10380</v>
      </c>
      <c r="T21" s="152">
        <f>'DNO inputs'!H162</f>
        <v>0</v>
      </c>
      <c r="U21" s="152">
        <f>'DNO inputs'!H163</f>
        <v>0</v>
      </c>
      <c r="V21" s="152">
        <f>'DNO inputs'!H164</f>
        <v>0</v>
      </c>
      <c r="W21" s="152">
        <f>'DNO inputs'!H165</f>
        <v>20780</v>
      </c>
      <c r="X21" s="152">
        <f>'DNO inputs'!H166</f>
        <v>0</v>
      </c>
      <c r="Y21" s="152">
        <f>'DNO inputs'!H167</f>
        <v>0</v>
      </c>
      <c r="Z21" s="152">
        <f>'DNO inputs'!H168</f>
        <v>0</v>
      </c>
      <c r="AA21" s="152">
        <f>'DNO inputs'!H169</f>
        <v>2000</v>
      </c>
      <c r="AB21" s="152">
        <f>'DNO inputs'!H170</f>
        <v>0</v>
      </c>
      <c r="AC21" s="152">
        <f>'DNO inputs'!H171</f>
        <v>84050</v>
      </c>
      <c r="AD21" s="152">
        <f>'DNO inputs'!H172</f>
        <v>0</v>
      </c>
      <c r="AE21" s="152">
        <f>'DNO inputs'!H173</f>
        <v>535000</v>
      </c>
      <c r="AF21" s="152">
        <f>'DNO inputs'!H174</f>
        <v>8230</v>
      </c>
      <c r="AG21" s="152">
        <f>'DNO inputs'!H175</f>
        <v>24460</v>
      </c>
      <c r="AH21" s="152">
        <f>'DNO inputs'!H176</f>
        <v>6830</v>
      </c>
      <c r="AI21" s="152">
        <f>'DNO inputs'!H177</f>
        <v>10020</v>
      </c>
      <c r="AJ21" s="152">
        <f>'DNO inputs'!H178</f>
        <v>12150</v>
      </c>
      <c r="AK21" s="152">
        <f>'DNO inputs'!H179</f>
        <v>0</v>
      </c>
      <c r="AL21" s="152">
        <f>'DNO inputs'!H180</f>
        <v>0</v>
      </c>
      <c r="AM21" s="152">
        <f>'DNO inputs'!H181</f>
        <v>0</v>
      </c>
      <c r="AN21" s="152">
        <f>'DNO inputs'!H182</f>
        <v>0</v>
      </c>
      <c r="AO21" s="152">
        <f>'DNO inputs'!H183</f>
        <v>0</v>
      </c>
      <c r="AP21" s="152">
        <f>'DNO inputs'!H184</f>
        <v>0</v>
      </c>
      <c r="AQ21" s="152">
        <f>'DNO inputs'!H185</f>
        <v>0</v>
      </c>
      <c r="AR21" s="152">
        <f>'DNO inputs'!H186</f>
        <v>0</v>
      </c>
      <c r="AS21" s="152">
        <f>'DNO inputs'!H187</f>
        <v>0</v>
      </c>
      <c r="AT21" s="152">
        <f>'DNO inputs'!H188</f>
        <v>1740</v>
      </c>
      <c r="AU21" s="152">
        <f>'DNO inputs'!H189</f>
        <v>12740</v>
      </c>
      <c r="AV21" s="152">
        <f>'DNO inputs'!H190</f>
        <v>0</v>
      </c>
      <c r="AW21" s="152">
        <f>'DNO inputs'!H191</f>
        <v>0</v>
      </c>
      <c r="AX21" s="152">
        <f>'DNO inputs'!H192</f>
        <v>26870</v>
      </c>
      <c r="AY21" s="152">
        <f>'DNO inputs'!H193</f>
        <v>29820</v>
      </c>
      <c r="AZ21" s="152">
        <f>'DNO inputs'!H194</f>
        <v>0</v>
      </c>
      <c r="BA21" s="152">
        <f>'DNO inputs'!H195</f>
        <v>0</v>
      </c>
      <c r="BB21" s="152">
        <f>'DNO inputs'!H196</f>
        <v>2560</v>
      </c>
      <c r="BC21" s="152">
        <f>'DNO inputs'!H197</f>
        <v>45140</v>
      </c>
      <c r="BD21" s="152">
        <f>'DNO inputs'!H198</f>
        <v>0</v>
      </c>
      <c r="BE21" s="152">
        <f>'DNO inputs'!H199</f>
        <v>0</v>
      </c>
      <c r="BF21" s="152">
        <f>'DNO inputs'!H200</f>
        <v>172860</v>
      </c>
      <c r="BG21" s="152">
        <f>'DNO inputs'!H201</f>
        <v>173080</v>
      </c>
      <c r="BH21" s="152">
        <f>'DNO inputs'!H202</f>
        <v>172810</v>
      </c>
      <c r="BI21" s="152">
        <f>'DNO inputs'!H203</f>
        <v>0</v>
      </c>
      <c r="BJ21" s="152">
        <f>'DNO inputs'!H204</f>
        <v>0</v>
      </c>
      <c r="BK21" s="152">
        <f>'DNO inputs'!H205</f>
        <v>0</v>
      </c>
      <c r="BL21" s="152">
        <f>'DNO inputs'!H206</f>
        <v>1136020</v>
      </c>
      <c r="BM21" s="152">
        <f>'DNO inputs'!H207</f>
        <v>66590</v>
      </c>
      <c r="BN21" s="152">
        <f>'DNO inputs'!H208</f>
        <v>51190</v>
      </c>
      <c r="BO21" s="152">
        <f>'DNO inputs'!H209</f>
        <v>33120</v>
      </c>
      <c r="BP21" s="152">
        <f>'DNO inputs'!H210</f>
        <v>0</v>
      </c>
      <c r="BQ21" s="152">
        <f>'DNO inputs'!H211</f>
        <v>0</v>
      </c>
      <c r="BR21" s="152">
        <f>'DNO inputs'!H212</f>
        <v>0</v>
      </c>
      <c r="BS21" s="152">
        <f>'DNO inputs'!H213</f>
        <v>0</v>
      </c>
      <c r="BT21" s="152">
        <f>'DNO inputs'!H214</f>
        <v>0</v>
      </c>
      <c r="BU21" s="152">
        <f>'DNO inputs'!H215</f>
        <v>0</v>
      </c>
      <c r="BV21" s="152">
        <f>'DNO inputs'!H216</f>
        <v>261250</v>
      </c>
      <c r="BW21" s="152">
        <f>'DNO inputs'!H217</f>
        <v>0</v>
      </c>
      <c r="BX21" s="152">
        <f>'DNO inputs'!H218</f>
        <v>0</v>
      </c>
      <c r="BY21" s="152">
        <f>'DNO inputs'!H219</f>
        <v>0</v>
      </c>
      <c r="BZ21" s="152">
        <f>'DNO inputs'!H220</f>
        <v>59210</v>
      </c>
      <c r="CA21" s="152">
        <f>'DNO inputs'!H221</f>
        <v>53460</v>
      </c>
      <c r="CB21" s="152">
        <f>'DNO inputs'!H222</f>
        <v>3550</v>
      </c>
      <c r="CC21" s="152">
        <f>'DNO inputs'!H223</f>
        <v>98340</v>
      </c>
      <c r="CD21" s="152">
        <f>'DNO inputs'!H224</f>
        <v>3740</v>
      </c>
      <c r="CE21" s="152">
        <f>'DNO inputs'!H225</f>
        <v>1191400</v>
      </c>
      <c r="CF21" s="152">
        <f>'DNO inputs'!H226</f>
        <v>1325500</v>
      </c>
      <c r="CG21" s="152">
        <f>'DNO inputs'!H227</f>
        <v>0</v>
      </c>
      <c r="CH21" s="152">
        <f>'DNO inputs'!H228</f>
        <v>0</v>
      </c>
      <c r="CI21" s="152">
        <f>'DNO inputs'!H229</f>
        <v>147020</v>
      </c>
      <c r="CJ21" s="152">
        <f>'DNO inputs'!H230</f>
        <v>0</v>
      </c>
      <c r="CK21" s="152">
        <f>'DNO inputs'!H231</f>
        <v>1140570</v>
      </c>
      <c r="CL21" s="152">
        <f>'DNO inputs'!H232</f>
        <v>0</v>
      </c>
      <c r="CM21" s="152">
        <f>'DNO inputs'!H233</f>
        <v>0</v>
      </c>
      <c r="CN21" s="152">
        <f>'DNO inputs'!H234</f>
        <v>0</v>
      </c>
      <c r="CO21" s="152">
        <f>'DNO inputs'!H235</f>
        <v>0</v>
      </c>
      <c r="CP21" s="152">
        <f>'DNO inputs'!H236</f>
        <v>0</v>
      </c>
      <c r="CQ21" s="74"/>
      <c r="CR21" s="73"/>
      <c r="CS21" s="42"/>
    </row>
    <row r="22" spans="1:97" x14ac:dyDescent="0.25">
      <c r="A22" s="73"/>
      <c r="B22" s="73"/>
      <c r="C22" s="73"/>
      <c r="D22" s="73"/>
      <c r="E22" s="115" t="str">
        <f>'Fixed inputs'!E17</f>
        <v>One million</v>
      </c>
      <c r="F22" s="73"/>
      <c r="G22" s="115" t="str">
        <f>'Fixed inputs'!G17</f>
        <v>scalar</v>
      </c>
      <c r="H22" s="152">
        <f>'Fixed inputs'!H17</f>
        <v>1000000</v>
      </c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74"/>
      <c r="CR22" s="73"/>
      <c r="CS22" s="42"/>
    </row>
    <row r="23" spans="1:97" x14ac:dyDescent="0.25">
      <c r="A23" s="73"/>
      <c r="B23" s="73"/>
      <c r="C23" s="73"/>
      <c r="D23" s="73"/>
      <c r="E23" s="109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3"/>
      <c r="CS23" s="42"/>
    </row>
    <row r="24" spans="1:97" x14ac:dyDescent="0.25">
      <c r="A24" s="115"/>
      <c r="B24" s="73"/>
      <c r="C24" s="73"/>
      <c r="D24" s="73"/>
      <c r="E24" s="115" t="s">
        <v>277</v>
      </c>
      <c r="F24" s="73"/>
      <c r="G24" s="115" t="s">
        <v>440</v>
      </c>
      <c r="H24" s="130"/>
      <c r="I24" s="143" t="s">
        <v>314</v>
      </c>
      <c r="J24" s="130">
        <f>J20 * J21 / $H22</f>
        <v>144.78912</v>
      </c>
      <c r="K24" s="130">
        <f t="shared" ref="K24:BV24" si="0">K20 * K21 / $H22</f>
        <v>137.02000000000001</v>
      </c>
      <c r="L24" s="130">
        <f t="shared" si="0"/>
        <v>372.55020000000002</v>
      </c>
      <c r="M24" s="130">
        <f t="shared" si="0"/>
        <v>206.93257692000003</v>
      </c>
      <c r="N24" s="130">
        <f t="shared" si="0"/>
        <v>333.222984</v>
      </c>
      <c r="O24" s="130">
        <f t="shared" si="0"/>
        <v>484.84401800000001</v>
      </c>
      <c r="P24" s="130">
        <f t="shared" si="0"/>
        <v>764.34609999999998</v>
      </c>
      <c r="Q24" s="130">
        <f t="shared" si="0"/>
        <v>54.500160000000001</v>
      </c>
      <c r="R24" s="130">
        <f t="shared" si="0"/>
        <v>27.82208</v>
      </c>
      <c r="S24" s="130">
        <f t="shared" si="0"/>
        <v>16.39002</v>
      </c>
      <c r="T24" s="130">
        <f t="shared" si="0"/>
        <v>0</v>
      </c>
      <c r="U24" s="130">
        <f t="shared" si="0"/>
        <v>0</v>
      </c>
      <c r="V24" s="130">
        <f t="shared" si="0"/>
        <v>0</v>
      </c>
      <c r="W24" s="130">
        <f t="shared" si="0"/>
        <v>344.76098000000002</v>
      </c>
      <c r="X24" s="130">
        <f t="shared" si="0"/>
        <v>0</v>
      </c>
      <c r="Y24" s="130">
        <f t="shared" si="0"/>
        <v>0</v>
      </c>
      <c r="Z24" s="130">
        <f t="shared" si="0"/>
        <v>0</v>
      </c>
      <c r="AA24" s="130">
        <f t="shared" si="0"/>
        <v>426.33600000000001</v>
      </c>
      <c r="AB24" s="130">
        <f t="shared" si="0"/>
        <v>0</v>
      </c>
      <c r="AC24" s="130">
        <f t="shared" si="0"/>
        <v>556.18406500000003</v>
      </c>
      <c r="AD24" s="130">
        <f t="shared" si="0"/>
        <v>0</v>
      </c>
      <c r="AE24" s="130">
        <f t="shared" si="0"/>
        <v>10.7</v>
      </c>
      <c r="AF24" s="130">
        <f t="shared" si="0"/>
        <v>5.7363099999999996</v>
      </c>
      <c r="AG24" s="130">
        <f t="shared" si="0"/>
        <v>101.09318</v>
      </c>
      <c r="AH24" s="130">
        <f t="shared" si="0"/>
        <v>0.95620000000000005</v>
      </c>
      <c r="AI24" s="130">
        <f t="shared" si="0"/>
        <v>87.153959999999998</v>
      </c>
      <c r="AJ24" s="130">
        <f t="shared" si="0"/>
        <v>86.763149999999996</v>
      </c>
      <c r="AK24" s="130">
        <f t="shared" si="0"/>
        <v>0</v>
      </c>
      <c r="AL24" s="130">
        <f t="shared" si="0"/>
        <v>0</v>
      </c>
      <c r="AM24" s="130">
        <f t="shared" si="0"/>
        <v>0</v>
      </c>
      <c r="AN24" s="130">
        <f t="shared" si="0"/>
        <v>0</v>
      </c>
      <c r="AO24" s="130">
        <f t="shared" si="0"/>
        <v>0</v>
      </c>
      <c r="AP24" s="130">
        <f t="shared" si="0"/>
        <v>0</v>
      </c>
      <c r="AQ24" s="130">
        <f t="shared" si="0"/>
        <v>0</v>
      </c>
      <c r="AR24" s="130">
        <f t="shared" si="0"/>
        <v>0</v>
      </c>
      <c r="AS24" s="130">
        <f t="shared" si="0"/>
        <v>0</v>
      </c>
      <c r="AT24" s="130">
        <f t="shared" si="0"/>
        <v>66.332279999999997</v>
      </c>
      <c r="AU24" s="130">
        <f t="shared" si="0"/>
        <v>164.35874000000001</v>
      </c>
      <c r="AV24" s="130">
        <f t="shared" si="0"/>
        <v>0</v>
      </c>
      <c r="AW24" s="130">
        <f t="shared" si="0"/>
        <v>0</v>
      </c>
      <c r="AX24" s="130">
        <f t="shared" si="0"/>
        <v>75.450959999999995</v>
      </c>
      <c r="AY24" s="130">
        <f t="shared" si="0"/>
        <v>3.0118200000000002</v>
      </c>
      <c r="AZ24" s="130">
        <f t="shared" si="0"/>
        <v>0</v>
      </c>
      <c r="BA24" s="130">
        <f t="shared" si="0"/>
        <v>0</v>
      </c>
      <c r="BB24" s="130">
        <f t="shared" si="0"/>
        <v>75.156480000000002</v>
      </c>
      <c r="BC24" s="130">
        <f t="shared" si="0"/>
        <v>19.45534</v>
      </c>
      <c r="BD24" s="130">
        <f t="shared" si="0"/>
        <v>0</v>
      </c>
      <c r="BE24" s="130">
        <f t="shared" si="0"/>
        <v>0</v>
      </c>
      <c r="BF24" s="130">
        <f t="shared" si="0"/>
        <v>132.6130062</v>
      </c>
      <c r="BG24" s="130">
        <f t="shared" si="0"/>
        <v>10.927405800000001</v>
      </c>
      <c r="BH24" s="130">
        <f t="shared" si="0"/>
        <v>5.87554</v>
      </c>
      <c r="BI24" s="130">
        <f t="shared" si="0"/>
        <v>0</v>
      </c>
      <c r="BJ24" s="130">
        <f t="shared" si="0"/>
        <v>0</v>
      </c>
      <c r="BK24" s="130">
        <f t="shared" si="0"/>
        <v>0</v>
      </c>
      <c r="BL24" s="130">
        <f t="shared" si="0"/>
        <v>74.977320000000006</v>
      </c>
      <c r="BM24" s="130">
        <f t="shared" si="0"/>
        <v>19.710640000000001</v>
      </c>
      <c r="BN24" s="130">
        <f t="shared" si="0"/>
        <v>34.553249999999998</v>
      </c>
      <c r="BO24" s="130">
        <f t="shared" si="0"/>
        <v>0.46367999999999998</v>
      </c>
      <c r="BP24" s="130">
        <f t="shared" si="0"/>
        <v>0</v>
      </c>
      <c r="BQ24" s="130">
        <f t="shared" si="0"/>
        <v>0</v>
      </c>
      <c r="BR24" s="130">
        <f t="shared" si="0"/>
        <v>0</v>
      </c>
      <c r="BS24" s="130">
        <f t="shared" si="0"/>
        <v>0</v>
      </c>
      <c r="BT24" s="130">
        <f t="shared" si="0"/>
        <v>0</v>
      </c>
      <c r="BU24" s="130">
        <f t="shared" si="0"/>
        <v>0</v>
      </c>
      <c r="BV24" s="130">
        <f t="shared" si="0"/>
        <v>153.35374999999999</v>
      </c>
      <c r="BW24" s="130">
        <f t="shared" ref="BW24:CP24" si="1">BW20 * BW21 / $H22</f>
        <v>0</v>
      </c>
      <c r="BX24" s="130">
        <f t="shared" si="1"/>
        <v>0</v>
      </c>
      <c r="BY24" s="130">
        <f t="shared" si="1"/>
        <v>0</v>
      </c>
      <c r="BZ24" s="130">
        <f t="shared" si="1"/>
        <v>3.6769409999999998</v>
      </c>
      <c r="CA24" s="130">
        <f t="shared" si="1"/>
        <v>73.881720000000001</v>
      </c>
      <c r="CB24" s="130">
        <f t="shared" si="1"/>
        <v>1.9809000000000001</v>
      </c>
      <c r="CC24" s="130">
        <f t="shared" si="1"/>
        <v>304.85399999999998</v>
      </c>
      <c r="CD24" s="130">
        <f t="shared" si="1"/>
        <v>17.615400000000001</v>
      </c>
      <c r="CE24" s="130">
        <f t="shared" si="1"/>
        <v>9.4478019999999994</v>
      </c>
      <c r="CF24" s="130">
        <f t="shared" si="1"/>
        <v>89.471249999999998</v>
      </c>
      <c r="CG24" s="130">
        <f t="shared" si="1"/>
        <v>0</v>
      </c>
      <c r="CH24" s="130">
        <f t="shared" si="1"/>
        <v>0</v>
      </c>
      <c r="CI24" s="130">
        <f t="shared" si="1"/>
        <v>22.494060000000001</v>
      </c>
      <c r="CJ24" s="130">
        <f t="shared" si="1"/>
        <v>0</v>
      </c>
      <c r="CK24" s="130">
        <f t="shared" si="1"/>
        <v>107.21357999999999</v>
      </c>
      <c r="CL24" s="130">
        <f t="shared" si="1"/>
        <v>0</v>
      </c>
      <c r="CM24" s="130">
        <f t="shared" si="1"/>
        <v>0</v>
      </c>
      <c r="CN24" s="130">
        <f t="shared" si="1"/>
        <v>0</v>
      </c>
      <c r="CO24" s="130">
        <f t="shared" si="1"/>
        <v>0</v>
      </c>
      <c r="CP24" s="130">
        <f t="shared" si="1"/>
        <v>0</v>
      </c>
      <c r="CQ24" s="74"/>
      <c r="CR24" s="115" t="s">
        <v>570</v>
      </c>
      <c r="CS24" s="42"/>
    </row>
    <row r="25" spans="1:97" x14ac:dyDescent="0.25">
      <c r="A25" s="73"/>
      <c r="B25" s="73"/>
      <c r="C25" s="73"/>
      <c r="D25" s="73"/>
      <c r="E25" s="115" t="s">
        <v>276</v>
      </c>
      <c r="F25" s="73"/>
      <c r="G25" s="115" t="s">
        <v>440</v>
      </c>
      <c r="H25" s="130">
        <f>SUM(J24:CP24)</f>
        <v>5628.9769689199975</v>
      </c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74"/>
      <c r="CR25" s="73"/>
      <c r="CS25" s="42"/>
    </row>
    <row r="26" spans="1:9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3"/>
      <c r="CS26" s="42"/>
    </row>
    <row r="27" spans="1:97" x14ac:dyDescent="0.25">
      <c r="A27" s="73"/>
      <c r="B27" s="101"/>
      <c r="C27" s="110" t="s">
        <v>671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0"/>
      <c r="CS27" s="42"/>
    </row>
    <row r="28" spans="1:97" x14ac:dyDescent="0.25">
      <c r="A28" s="73"/>
      <c r="B28" s="73"/>
      <c r="C28" s="109"/>
      <c r="D28" s="109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3"/>
      <c r="CS28" s="42"/>
    </row>
    <row r="29" spans="1:97" x14ac:dyDescent="0.25">
      <c r="A29" s="73"/>
      <c r="B29" s="73"/>
      <c r="C29" s="73"/>
      <c r="D29" s="109"/>
      <c r="E29" s="115" t="str">
        <f>'Fixed inputs'!E186</f>
        <v>Mapping of MEAV asset categories to network levels</v>
      </c>
      <c r="F29" s="73"/>
      <c r="G29" s="115" t="str">
        <f>'Fixed inputs'!G187</f>
        <v>network level</v>
      </c>
      <c r="H29" s="130"/>
      <c r="I29" s="130"/>
      <c r="J29" s="152" t="str">
        <f>'Fixed inputs'!H187</f>
        <v>LV mains</v>
      </c>
      <c r="K29" s="152" t="str">
        <f>'Fixed inputs'!H188</f>
        <v>LV services</v>
      </c>
      <c r="L29" s="152" t="str">
        <f>'Fixed inputs'!H189</f>
        <v>LV mains</v>
      </c>
      <c r="M29" s="152" t="str">
        <f>'Fixed inputs'!H190</f>
        <v>LV mains</v>
      </c>
      <c r="N29" s="152" t="str">
        <f>'Fixed inputs'!H191</f>
        <v>LV mains</v>
      </c>
      <c r="O29" s="152" t="str">
        <f>'Fixed inputs'!H192</f>
        <v>LV mains</v>
      </c>
      <c r="P29" s="152" t="str">
        <f>'Fixed inputs'!H193</f>
        <v>LV services</v>
      </c>
      <c r="Q29" s="152" t="str">
        <f>'Fixed inputs'!H194</f>
        <v>LV mains</v>
      </c>
      <c r="R29" s="152" t="str">
        <f>'Fixed inputs'!H195</f>
        <v>LV mains</v>
      </c>
      <c r="S29" s="152" t="str">
        <f>'Fixed inputs'!H196</f>
        <v>LV mains</v>
      </c>
      <c r="T29" s="152" t="str">
        <f>'Fixed inputs'!H197</f>
        <v>LV mains</v>
      </c>
      <c r="U29" s="152" t="str">
        <f>'Fixed inputs'!H198</f>
        <v>LV mains</v>
      </c>
      <c r="V29" s="152" t="str">
        <f>'Fixed inputs'!H199</f>
        <v>LV mains</v>
      </c>
      <c r="W29" s="152" t="str">
        <f>'Fixed inputs'!H200</f>
        <v>HV</v>
      </c>
      <c r="X29" s="152" t="str">
        <f>'Fixed inputs'!H201</f>
        <v>HV</v>
      </c>
      <c r="Y29" s="152" t="str">
        <f>'Fixed inputs'!H202</f>
        <v>HV</v>
      </c>
      <c r="Z29" s="152" t="str">
        <f>'Fixed inputs'!H203</f>
        <v>HV</v>
      </c>
      <c r="AA29" s="152" t="str">
        <f>'Fixed inputs'!H204</f>
        <v>HV</v>
      </c>
      <c r="AB29" s="152" t="str">
        <f>'Fixed inputs'!H205</f>
        <v>HV</v>
      </c>
      <c r="AC29" s="152" t="str">
        <f>'Fixed inputs'!H206</f>
        <v>HV</v>
      </c>
      <c r="AD29" s="152" t="str">
        <f>'Fixed inputs'!H207</f>
        <v>HV</v>
      </c>
      <c r="AE29" s="152" t="str">
        <f>'Fixed inputs'!H208</f>
        <v>HV</v>
      </c>
      <c r="AF29" s="152" t="str">
        <f>'Fixed inputs'!H209</f>
        <v>HV</v>
      </c>
      <c r="AG29" s="152" t="str">
        <f>'Fixed inputs'!H210</f>
        <v>HV</v>
      </c>
      <c r="AH29" s="152" t="str">
        <f>'Fixed inputs'!H211</f>
        <v>HV</v>
      </c>
      <c r="AI29" s="152" t="str">
        <f>'Fixed inputs'!H212</f>
        <v>HV/LV</v>
      </c>
      <c r="AJ29" s="152" t="str">
        <f>'Fixed inputs'!H213</f>
        <v>HV/LV</v>
      </c>
      <c r="AK29" s="152" t="str">
        <f>'Fixed inputs'!H214</f>
        <v>HV</v>
      </c>
      <c r="AL29" s="152" t="str">
        <f>'Fixed inputs'!H215</f>
        <v>HV</v>
      </c>
      <c r="AM29" s="152" t="str">
        <f>'Fixed inputs'!H216</f>
        <v>HV</v>
      </c>
      <c r="AN29" s="152" t="str">
        <f>'Fixed inputs'!H217</f>
        <v>HV</v>
      </c>
      <c r="AO29" s="152" t="str">
        <f>'Fixed inputs'!H218</f>
        <v>HV</v>
      </c>
      <c r="AP29" s="152" t="str">
        <f>'Fixed inputs'!H219</f>
        <v>HV/LV</v>
      </c>
      <c r="AQ29" s="152" t="str">
        <f>'Fixed inputs'!H220</f>
        <v>HV/LV</v>
      </c>
      <c r="AR29" s="152" t="str">
        <f>'Fixed inputs'!H221</f>
        <v>HV</v>
      </c>
      <c r="AS29" s="152" t="str">
        <f>'Fixed inputs'!H222</f>
        <v>HV</v>
      </c>
      <c r="AT29" s="152" t="str">
        <f>'Fixed inputs'!H223</f>
        <v>HV/LV</v>
      </c>
      <c r="AU29" s="152" t="str">
        <f>'Fixed inputs'!H224</f>
        <v>HV/LV</v>
      </c>
      <c r="AV29" s="152" t="str">
        <f>'Fixed inputs'!H225</f>
        <v>HV/LV</v>
      </c>
      <c r="AW29" s="152" t="str">
        <f>'Fixed inputs'!H226</f>
        <v>HV/LV</v>
      </c>
      <c r="AX29" s="152" t="str">
        <f>'Fixed inputs'!H227</f>
        <v>EHV and 132kV</v>
      </c>
      <c r="AY29" s="152" t="str">
        <f>'Fixed inputs'!H228</f>
        <v>EHV and 132kV</v>
      </c>
      <c r="AZ29" s="152" t="str">
        <f>'Fixed inputs'!H229</f>
        <v>EHV and 132kV</v>
      </c>
      <c r="BA29" s="152" t="str">
        <f>'Fixed inputs'!H230</f>
        <v>EHV and 132kV</v>
      </c>
      <c r="BB29" s="152" t="str">
        <f>'Fixed inputs'!H231</f>
        <v>EHV and 132kV</v>
      </c>
      <c r="BC29" s="152" t="str">
        <f>'Fixed inputs'!H232</f>
        <v>EHV and 132kV</v>
      </c>
      <c r="BD29" s="152" t="str">
        <f>'Fixed inputs'!H233</f>
        <v>EHV and 132kV</v>
      </c>
      <c r="BE29" s="152" t="str">
        <f>'Fixed inputs'!H234</f>
        <v>EHV and 132kV</v>
      </c>
      <c r="BF29" s="152" t="str">
        <f>'Fixed inputs'!H235</f>
        <v>EHV and 132kV</v>
      </c>
      <c r="BG29" s="152" t="str">
        <f>'Fixed inputs'!H236</f>
        <v>EHV and 132kV</v>
      </c>
      <c r="BH29" s="152" t="str">
        <f>'Fixed inputs'!H237</f>
        <v>EHV and 132kV</v>
      </c>
      <c r="BI29" s="152" t="str">
        <f>'Fixed inputs'!H238</f>
        <v>EHV and 132kV</v>
      </c>
      <c r="BJ29" s="152" t="str">
        <f>'Fixed inputs'!H239</f>
        <v>EHV and 132kV</v>
      </c>
      <c r="BK29" s="152" t="str">
        <f>'Fixed inputs'!H240</f>
        <v>EHV and 132kV</v>
      </c>
      <c r="BL29" s="152" t="str">
        <f>'Fixed inputs'!H241</f>
        <v>EHV and 132kV</v>
      </c>
      <c r="BM29" s="152" t="str">
        <f>'Fixed inputs'!H242</f>
        <v>EHV and 132kV</v>
      </c>
      <c r="BN29" s="152" t="str">
        <f>'Fixed inputs'!H243</f>
        <v>EHV and 132kV</v>
      </c>
      <c r="BO29" s="152" t="str">
        <f>'Fixed inputs'!H244</f>
        <v>EHV and 132kV</v>
      </c>
      <c r="BP29" s="152" t="str">
        <f>'Fixed inputs'!H245</f>
        <v>EHV and 132kV</v>
      </c>
      <c r="BQ29" s="152" t="str">
        <f>'Fixed inputs'!H246</f>
        <v>EHV and 132kV</v>
      </c>
      <c r="BR29" s="152" t="str">
        <f>'Fixed inputs'!H247</f>
        <v>EHV and 132kV</v>
      </c>
      <c r="BS29" s="152" t="str">
        <f>'Fixed inputs'!H248</f>
        <v>EHV and 132kV</v>
      </c>
      <c r="BT29" s="152" t="str">
        <f>'Fixed inputs'!H249</f>
        <v>EHV and 132kV</v>
      </c>
      <c r="BU29" s="152" t="str">
        <f>'Fixed inputs'!H250</f>
        <v>EHV and 132kV</v>
      </c>
      <c r="BV29" s="152" t="str">
        <f>'Fixed inputs'!H251</f>
        <v>EHV and 132kV</v>
      </c>
      <c r="BW29" s="152" t="str">
        <f>'Fixed inputs'!H252</f>
        <v>EHV and 132kV</v>
      </c>
      <c r="BX29" s="152" t="str">
        <f>'Fixed inputs'!H253</f>
        <v>EHV and 132kV</v>
      </c>
      <c r="BY29" s="152" t="str">
        <f>'Fixed inputs'!H254</f>
        <v>EHV and 132kV</v>
      </c>
      <c r="BZ29" s="152" t="str">
        <f>'Fixed inputs'!H255</f>
        <v>EHV and 132kV</v>
      </c>
      <c r="CA29" s="152" t="str">
        <f>'Fixed inputs'!H256</f>
        <v>EHV and 132kV</v>
      </c>
      <c r="CB29" s="152" t="str">
        <f>'Fixed inputs'!H257</f>
        <v>EHV and 132kV</v>
      </c>
      <c r="CC29" s="152" t="str">
        <f>'Fixed inputs'!H258</f>
        <v>EHV and 132kV</v>
      </c>
      <c r="CD29" s="152" t="str">
        <f>'Fixed inputs'!H259</f>
        <v>EHV and 132kV</v>
      </c>
      <c r="CE29" s="152" t="str">
        <f>'Fixed inputs'!H260</f>
        <v>EHV and 132kV</v>
      </c>
      <c r="CF29" s="152" t="str">
        <f>'Fixed inputs'!H261</f>
        <v>EHV and 132kV</v>
      </c>
      <c r="CG29" s="152" t="str">
        <f>'Fixed inputs'!H262</f>
        <v>EHV and 132kV</v>
      </c>
      <c r="CH29" s="152" t="str">
        <f>'Fixed inputs'!H263</f>
        <v>EHV and 132kV</v>
      </c>
      <c r="CI29" s="152" t="str">
        <f>'Fixed inputs'!H264</f>
        <v>EHV and 132kV</v>
      </c>
      <c r="CJ29" s="152" t="str">
        <f>'Fixed inputs'!H265</f>
        <v>EHV and 132kV</v>
      </c>
      <c r="CK29" s="152" t="str">
        <f>'Fixed inputs'!H266</f>
        <v>EHV and 132kV</v>
      </c>
      <c r="CL29" s="152" t="str">
        <f>'Fixed inputs'!H267</f>
        <v>EHV and 132kV</v>
      </c>
      <c r="CM29" s="152" t="str">
        <f>'Fixed inputs'!H268</f>
        <v>EHV and 132kV</v>
      </c>
      <c r="CN29" s="152" t="str">
        <f>'Fixed inputs'!H269</f>
        <v>EHV and 132kV</v>
      </c>
      <c r="CO29" s="152" t="str">
        <f>'Fixed inputs'!H270</f>
        <v>HV</v>
      </c>
      <c r="CP29" s="152" t="str">
        <f>'Fixed inputs'!H271</f>
        <v>HV</v>
      </c>
      <c r="CQ29" s="74"/>
      <c r="CR29" s="73"/>
      <c r="CS29" s="42"/>
    </row>
    <row r="30" spans="1:9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3"/>
      <c r="CS30" s="42"/>
    </row>
    <row r="31" spans="1:97" x14ac:dyDescent="0.25">
      <c r="A31" s="115"/>
      <c r="B31" s="73"/>
      <c r="C31" s="73"/>
      <c r="D31" s="73"/>
      <c r="E31" s="112" t="s">
        <v>359</v>
      </c>
      <c r="F31" s="73"/>
      <c r="G31" s="73"/>
      <c r="H31" s="74"/>
      <c r="I31" s="132" t="s">
        <v>314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115" t="s">
        <v>570</v>
      </c>
      <c r="CS31" s="42"/>
    </row>
    <row r="32" spans="1:97" x14ac:dyDescent="0.25">
      <c r="A32" s="73"/>
      <c r="B32" s="73"/>
      <c r="C32" s="73"/>
      <c r="D32" s="73"/>
      <c r="E32" s="73"/>
      <c r="F32" s="113" t="s">
        <v>193</v>
      </c>
      <c r="G32" s="113" t="s">
        <v>191</v>
      </c>
      <c r="H32" s="138"/>
      <c r="I32" s="138"/>
      <c r="J32" s="138">
        <f>IF($F32 = J$29, 1, 0)</f>
        <v>0</v>
      </c>
      <c r="K32" s="138">
        <f t="shared" ref="K32:BV33" si="2">IF($F32 = K$29, 1, 0)</f>
        <v>1</v>
      </c>
      <c r="L32" s="138">
        <f t="shared" si="2"/>
        <v>0</v>
      </c>
      <c r="M32" s="138">
        <f t="shared" si="2"/>
        <v>0</v>
      </c>
      <c r="N32" s="138">
        <f t="shared" si="2"/>
        <v>0</v>
      </c>
      <c r="O32" s="138">
        <f t="shared" si="2"/>
        <v>0</v>
      </c>
      <c r="P32" s="138">
        <f t="shared" si="2"/>
        <v>1</v>
      </c>
      <c r="Q32" s="138">
        <f t="shared" si="2"/>
        <v>0</v>
      </c>
      <c r="R32" s="138">
        <f t="shared" si="2"/>
        <v>0</v>
      </c>
      <c r="S32" s="138">
        <f t="shared" si="2"/>
        <v>0</v>
      </c>
      <c r="T32" s="138">
        <f t="shared" si="2"/>
        <v>0</v>
      </c>
      <c r="U32" s="138">
        <f t="shared" si="2"/>
        <v>0</v>
      </c>
      <c r="V32" s="138">
        <f t="shared" si="2"/>
        <v>0</v>
      </c>
      <c r="W32" s="138">
        <f t="shared" si="2"/>
        <v>0</v>
      </c>
      <c r="X32" s="138">
        <f t="shared" si="2"/>
        <v>0</v>
      </c>
      <c r="Y32" s="138">
        <f t="shared" si="2"/>
        <v>0</v>
      </c>
      <c r="Z32" s="138">
        <f t="shared" si="2"/>
        <v>0</v>
      </c>
      <c r="AA32" s="138">
        <f t="shared" si="2"/>
        <v>0</v>
      </c>
      <c r="AB32" s="138">
        <f t="shared" si="2"/>
        <v>0</v>
      </c>
      <c r="AC32" s="138">
        <f t="shared" si="2"/>
        <v>0</v>
      </c>
      <c r="AD32" s="138">
        <f t="shared" si="2"/>
        <v>0</v>
      </c>
      <c r="AE32" s="138">
        <f t="shared" si="2"/>
        <v>0</v>
      </c>
      <c r="AF32" s="138">
        <f t="shared" si="2"/>
        <v>0</v>
      </c>
      <c r="AG32" s="138">
        <f t="shared" si="2"/>
        <v>0</v>
      </c>
      <c r="AH32" s="138">
        <f t="shared" si="2"/>
        <v>0</v>
      </c>
      <c r="AI32" s="138">
        <f t="shared" si="2"/>
        <v>0</v>
      </c>
      <c r="AJ32" s="138">
        <f t="shared" si="2"/>
        <v>0</v>
      </c>
      <c r="AK32" s="138">
        <f t="shared" si="2"/>
        <v>0</v>
      </c>
      <c r="AL32" s="138">
        <f t="shared" si="2"/>
        <v>0</v>
      </c>
      <c r="AM32" s="138">
        <f t="shared" si="2"/>
        <v>0</v>
      </c>
      <c r="AN32" s="138">
        <f t="shared" si="2"/>
        <v>0</v>
      </c>
      <c r="AO32" s="138">
        <f t="shared" si="2"/>
        <v>0</v>
      </c>
      <c r="AP32" s="138">
        <f t="shared" si="2"/>
        <v>0</v>
      </c>
      <c r="AQ32" s="138">
        <f t="shared" si="2"/>
        <v>0</v>
      </c>
      <c r="AR32" s="138">
        <f t="shared" si="2"/>
        <v>0</v>
      </c>
      <c r="AS32" s="138">
        <f t="shared" si="2"/>
        <v>0</v>
      </c>
      <c r="AT32" s="138">
        <f t="shared" si="2"/>
        <v>0</v>
      </c>
      <c r="AU32" s="138">
        <f t="shared" si="2"/>
        <v>0</v>
      </c>
      <c r="AV32" s="138">
        <f t="shared" si="2"/>
        <v>0</v>
      </c>
      <c r="AW32" s="138">
        <f t="shared" si="2"/>
        <v>0</v>
      </c>
      <c r="AX32" s="138">
        <f t="shared" si="2"/>
        <v>0</v>
      </c>
      <c r="AY32" s="138">
        <f t="shared" si="2"/>
        <v>0</v>
      </c>
      <c r="AZ32" s="138">
        <f t="shared" si="2"/>
        <v>0</v>
      </c>
      <c r="BA32" s="138">
        <f t="shared" si="2"/>
        <v>0</v>
      </c>
      <c r="BB32" s="138">
        <f t="shared" si="2"/>
        <v>0</v>
      </c>
      <c r="BC32" s="138">
        <f t="shared" si="2"/>
        <v>0</v>
      </c>
      <c r="BD32" s="138">
        <f t="shared" si="2"/>
        <v>0</v>
      </c>
      <c r="BE32" s="138">
        <f t="shared" si="2"/>
        <v>0</v>
      </c>
      <c r="BF32" s="138">
        <f t="shared" si="2"/>
        <v>0</v>
      </c>
      <c r="BG32" s="138">
        <f t="shared" si="2"/>
        <v>0</v>
      </c>
      <c r="BH32" s="138">
        <f t="shared" si="2"/>
        <v>0</v>
      </c>
      <c r="BI32" s="138">
        <f t="shared" si="2"/>
        <v>0</v>
      </c>
      <c r="BJ32" s="138">
        <f t="shared" si="2"/>
        <v>0</v>
      </c>
      <c r="BK32" s="138">
        <f t="shared" si="2"/>
        <v>0</v>
      </c>
      <c r="BL32" s="138">
        <f t="shared" si="2"/>
        <v>0</v>
      </c>
      <c r="BM32" s="138">
        <f t="shared" si="2"/>
        <v>0</v>
      </c>
      <c r="BN32" s="138">
        <f t="shared" si="2"/>
        <v>0</v>
      </c>
      <c r="BO32" s="138">
        <f t="shared" si="2"/>
        <v>0</v>
      </c>
      <c r="BP32" s="138">
        <f t="shared" si="2"/>
        <v>0</v>
      </c>
      <c r="BQ32" s="138">
        <f t="shared" si="2"/>
        <v>0</v>
      </c>
      <c r="BR32" s="138">
        <f t="shared" si="2"/>
        <v>0</v>
      </c>
      <c r="BS32" s="138">
        <f t="shared" si="2"/>
        <v>0</v>
      </c>
      <c r="BT32" s="138">
        <f t="shared" si="2"/>
        <v>0</v>
      </c>
      <c r="BU32" s="138">
        <f t="shared" si="2"/>
        <v>0</v>
      </c>
      <c r="BV32" s="138">
        <f t="shared" si="2"/>
        <v>0</v>
      </c>
      <c r="BW32" s="138">
        <f t="shared" ref="BW32:CP36" si="3">IF($F32 = BW$29, 1, 0)</f>
        <v>0</v>
      </c>
      <c r="BX32" s="138">
        <f t="shared" si="3"/>
        <v>0</v>
      </c>
      <c r="BY32" s="138">
        <f t="shared" si="3"/>
        <v>0</v>
      </c>
      <c r="BZ32" s="138">
        <f t="shared" si="3"/>
        <v>0</v>
      </c>
      <c r="CA32" s="138">
        <f t="shared" si="3"/>
        <v>0</v>
      </c>
      <c r="CB32" s="138">
        <f t="shared" si="3"/>
        <v>0</v>
      </c>
      <c r="CC32" s="138">
        <f t="shared" si="3"/>
        <v>0</v>
      </c>
      <c r="CD32" s="138">
        <f t="shared" si="3"/>
        <v>0</v>
      </c>
      <c r="CE32" s="138">
        <f t="shared" si="3"/>
        <v>0</v>
      </c>
      <c r="CF32" s="138">
        <f t="shared" si="3"/>
        <v>0</v>
      </c>
      <c r="CG32" s="138">
        <f t="shared" si="3"/>
        <v>0</v>
      </c>
      <c r="CH32" s="138">
        <f t="shared" si="3"/>
        <v>0</v>
      </c>
      <c r="CI32" s="138">
        <f t="shared" si="3"/>
        <v>0</v>
      </c>
      <c r="CJ32" s="138">
        <f t="shared" si="3"/>
        <v>0</v>
      </c>
      <c r="CK32" s="138">
        <f t="shared" si="3"/>
        <v>0</v>
      </c>
      <c r="CL32" s="138">
        <f t="shared" si="3"/>
        <v>0</v>
      </c>
      <c r="CM32" s="138">
        <f t="shared" si="3"/>
        <v>0</v>
      </c>
      <c r="CN32" s="138">
        <f t="shared" si="3"/>
        <v>0</v>
      </c>
      <c r="CO32" s="138">
        <f t="shared" si="3"/>
        <v>0</v>
      </c>
      <c r="CP32" s="138">
        <f t="shared" si="3"/>
        <v>0</v>
      </c>
      <c r="CQ32" s="74"/>
      <c r="CR32" s="73"/>
      <c r="CS32" s="42"/>
    </row>
    <row r="33" spans="1:97" x14ac:dyDescent="0.25">
      <c r="A33" s="73"/>
      <c r="B33" s="73"/>
      <c r="C33" s="73"/>
      <c r="D33" s="73"/>
      <c r="E33" s="73"/>
      <c r="F33" s="115" t="s">
        <v>194</v>
      </c>
      <c r="G33" s="115" t="s">
        <v>191</v>
      </c>
      <c r="H33" s="136"/>
      <c r="I33" s="136"/>
      <c r="J33" s="136">
        <f>IF($F33 = J$29, 1, 0)</f>
        <v>1</v>
      </c>
      <c r="K33" s="136">
        <f t="shared" ref="K33:Y33" si="4">IF($F33 = K$29, 1, 0)</f>
        <v>0</v>
      </c>
      <c r="L33" s="136">
        <f t="shared" si="4"/>
        <v>1</v>
      </c>
      <c r="M33" s="136">
        <f t="shared" si="4"/>
        <v>1</v>
      </c>
      <c r="N33" s="136">
        <f t="shared" si="4"/>
        <v>1</v>
      </c>
      <c r="O33" s="136">
        <f t="shared" si="4"/>
        <v>1</v>
      </c>
      <c r="P33" s="136">
        <f t="shared" si="4"/>
        <v>0</v>
      </c>
      <c r="Q33" s="136">
        <f t="shared" si="4"/>
        <v>1</v>
      </c>
      <c r="R33" s="136">
        <f t="shared" si="4"/>
        <v>1</v>
      </c>
      <c r="S33" s="136">
        <f t="shared" si="4"/>
        <v>1</v>
      </c>
      <c r="T33" s="136">
        <f t="shared" si="4"/>
        <v>1</v>
      </c>
      <c r="U33" s="136">
        <f t="shared" si="4"/>
        <v>1</v>
      </c>
      <c r="V33" s="136">
        <f t="shared" si="4"/>
        <v>1</v>
      </c>
      <c r="W33" s="136">
        <f t="shared" si="4"/>
        <v>0</v>
      </c>
      <c r="X33" s="136">
        <f t="shared" si="4"/>
        <v>0</v>
      </c>
      <c r="Y33" s="136">
        <f t="shared" si="4"/>
        <v>0</v>
      </c>
      <c r="Z33" s="136">
        <f t="shared" si="2"/>
        <v>0</v>
      </c>
      <c r="AA33" s="136">
        <f t="shared" si="2"/>
        <v>0</v>
      </c>
      <c r="AB33" s="136">
        <f t="shared" si="2"/>
        <v>0</v>
      </c>
      <c r="AC33" s="136">
        <f t="shared" si="2"/>
        <v>0</v>
      </c>
      <c r="AD33" s="136">
        <f t="shared" si="2"/>
        <v>0</v>
      </c>
      <c r="AE33" s="136">
        <f t="shared" si="2"/>
        <v>0</v>
      </c>
      <c r="AF33" s="136">
        <f t="shared" si="2"/>
        <v>0</v>
      </c>
      <c r="AG33" s="136">
        <f t="shared" si="2"/>
        <v>0</v>
      </c>
      <c r="AH33" s="136">
        <f t="shared" si="2"/>
        <v>0</v>
      </c>
      <c r="AI33" s="136">
        <f t="shared" si="2"/>
        <v>0</v>
      </c>
      <c r="AJ33" s="136">
        <f t="shared" si="2"/>
        <v>0</v>
      </c>
      <c r="AK33" s="136">
        <f t="shared" si="2"/>
        <v>0</v>
      </c>
      <c r="AL33" s="136">
        <f t="shared" si="2"/>
        <v>0</v>
      </c>
      <c r="AM33" s="136">
        <f t="shared" si="2"/>
        <v>0</v>
      </c>
      <c r="AN33" s="136">
        <f t="shared" si="2"/>
        <v>0</v>
      </c>
      <c r="AO33" s="136">
        <f t="shared" si="2"/>
        <v>0</v>
      </c>
      <c r="AP33" s="136">
        <f t="shared" si="2"/>
        <v>0</v>
      </c>
      <c r="AQ33" s="136">
        <f t="shared" si="2"/>
        <v>0</v>
      </c>
      <c r="AR33" s="136">
        <f t="shared" si="2"/>
        <v>0</v>
      </c>
      <c r="AS33" s="136">
        <f t="shared" si="2"/>
        <v>0</v>
      </c>
      <c r="AT33" s="136">
        <f t="shared" si="2"/>
        <v>0</v>
      </c>
      <c r="AU33" s="136">
        <f t="shared" si="2"/>
        <v>0</v>
      </c>
      <c r="AV33" s="136">
        <f t="shared" si="2"/>
        <v>0</v>
      </c>
      <c r="AW33" s="136">
        <f t="shared" si="2"/>
        <v>0</v>
      </c>
      <c r="AX33" s="136">
        <f t="shared" si="2"/>
        <v>0</v>
      </c>
      <c r="AY33" s="136">
        <f t="shared" si="2"/>
        <v>0</v>
      </c>
      <c r="AZ33" s="136">
        <f t="shared" si="2"/>
        <v>0</v>
      </c>
      <c r="BA33" s="136">
        <f t="shared" si="2"/>
        <v>0</v>
      </c>
      <c r="BB33" s="136">
        <f t="shared" si="2"/>
        <v>0</v>
      </c>
      <c r="BC33" s="136">
        <f t="shared" si="2"/>
        <v>0</v>
      </c>
      <c r="BD33" s="136">
        <f t="shared" si="2"/>
        <v>0</v>
      </c>
      <c r="BE33" s="136">
        <f t="shared" si="2"/>
        <v>0</v>
      </c>
      <c r="BF33" s="136">
        <f t="shared" si="2"/>
        <v>0</v>
      </c>
      <c r="BG33" s="136">
        <f t="shared" si="2"/>
        <v>0</v>
      </c>
      <c r="BH33" s="136">
        <f t="shared" si="2"/>
        <v>0</v>
      </c>
      <c r="BI33" s="136">
        <f t="shared" si="2"/>
        <v>0</v>
      </c>
      <c r="BJ33" s="136">
        <f t="shared" si="2"/>
        <v>0</v>
      </c>
      <c r="BK33" s="136">
        <f t="shared" si="2"/>
        <v>0</v>
      </c>
      <c r="BL33" s="136">
        <f t="shared" si="2"/>
        <v>0</v>
      </c>
      <c r="BM33" s="136">
        <f t="shared" si="2"/>
        <v>0</v>
      </c>
      <c r="BN33" s="136">
        <f t="shared" si="2"/>
        <v>0</v>
      </c>
      <c r="BO33" s="136">
        <f t="shared" si="2"/>
        <v>0</v>
      </c>
      <c r="BP33" s="136">
        <f t="shared" si="2"/>
        <v>0</v>
      </c>
      <c r="BQ33" s="136">
        <f t="shared" si="2"/>
        <v>0</v>
      </c>
      <c r="BR33" s="136">
        <f t="shared" si="2"/>
        <v>0</v>
      </c>
      <c r="BS33" s="136">
        <f t="shared" si="2"/>
        <v>0</v>
      </c>
      <c r="BT33" s="136">
        <f t="shared" si="2"/>
        <v>0</v>
      </c>
      <c r="BU33" s="136">
        <f t="shared" si="2"/>
        <v>0</v>
      </c>
      <c r="BV33" s="136">
        <f t="shared" si="2"/>
        <v>0</v>
      </c>
      <c r="BW33" s="136">
        <f t="shared" si="3"/>
        <v>0</v>
      </c>
      <c r="BX33" s="136">
        <f t="shared" si="3"/>
        <v>0</v>
      </c>
      <c r="BY33" s="136">
        <f t="shared" si="3"/>
        <v>0</v>
      </c>
      <c r="BZ33" s="136">
        <f t="shared" si="3"/>
        <v>0</v>
      </c>
      <c r="CA33" s="136">
        <f t="shared" si="3"/>
        <v>0</v>
      </c>
      <c r="CB33" s="136">
        <f t="shared" si="3"/>
        <v>0</v>
      </c>
      <c r="CC33" s="136">
        <f t="shared" si="3"/>
        <v>0</v>
      </c>
      <c r="CD33" s="136">
        <f t="shared" si="3"/>
        <v>0</v>
      </c>
      <c r="CE33" s="136">
        <f t="shared" si="3"/>
        <v>0</v>
      </c>
      <c r="CF33" s="136">
        <f t="shared" si="3"/>
        <v>0</v>
      </c>
      <c r="CG33" s="136">
        <f t="shared" si="3"/>
        <v>0</v>
      </c>
      <c r="CH33" s="136">
        <f t="shared" si="3"/>
        <v>0</v>
      </c>
      <c r="CI33" s="136">
        <f t="shared" si="3"/>
        <v>0</v>
      </c>
      <c r="CJ33" s="136">
        <f t="shared" si="3"/>
        <v>0</v>
      </c>
      <c r="CK33" s="136">
        <f t="shared" si="3"/>
        <v>0</v>
      </c>
      <c r="CL33" s="136">
        <f t="shared" si="3"/>
        <v>0</v>
      </c>
      <c r="CM33" s="136">
        <f t="shared" si="3"/>
        <v>0</v>
      </c>
      <c r="CN33" s="136">
        <f t="shared" si="3"/>
        <v>0</v>
      </c>
      <c r="CO33" s="136">
        <f t="shared" si="3"/>
        <v>0</v>
      </c>
      <c r="CP33" s="136">
        <f t="shared" si="3"/>
        <v>0</v>
      </c>
      <c r="CQ33" s="74"/>
      <c r="CR33" s="73"/>
      <c r="CS33" s="42"/>
    </row>
    <row r="34" spans="1:97" x14ac:dyDescent="0.25">
      <c r="A34" s="73"/>
      <c r="B34" s="73"/>
      <c r="C34" s="73"/>
      <c r="D34" s="73"/>
      <c r="E34" s="73"/>
      <c r="F34" s="115" t="s">
        <v>41</v>
      </c>
      <c r="G34" s="115" t="s">
        <v>191</v>
      </c>
      <c r="H34" s="136"/>
      <c r="I34" s="136"/>
      <c r="J34" s="136">
        <f>IF($F34 = J$29, 1, 0)</f>
        <v>0</v>
      </c>
      <c r="K34" s="136">
        <f t="shared" ref="K34:BV36" si="5">IF($F34 = K$29, 1, 0)</f>
        <v>0</v>
      </c>
      <c r="L34" s="136">
        <f t="shared" si="5"/>
        <v>0</v>
      </c>
      <c r="M34" s="136">
        <f t="shared" si="5"/>
        <v>0</v>
      </c>
      <c r="N34" s="136">
        <f t="shared" si="5"/>
        <v>0</v>
      </c>
      <c r="O34" s="136">
        <f t="shared" si="5"/>
        <v>0</v>
      </c>
      <c r="P34" s="136">
        <f t="shared" si="5"/>
        <v>0</v>
      </c>
      <c r="Q34" s="136">
        <f t="shared" si="5"/>
        <v>0</v>
      </c>
      <c r="R34" s="136">
        <f t="shared" si="5"/>
        <v>0</v>
      </c>
      <c r="S34" s="136">
        <f t="shared" si="5"/>
        <v>0</v>
      </c>
      <c r="T34" s="136">
        <f t="shared" si="5"/>
        <v>0</v>
      </c>
      <c r="U34" s="136">
        <f t="shared" si="5"/>
        <v>0</v>
      </c>
      <c r="V34" s="136">
        <f t="shared" si="5"/>
        <v>0</v>
      </c>
      <c r="W34" s="136">
        <f t="shared" si="5"/>
        <v>0</v>
      </c>
      <c r="X34" s="136">
        <f t="shared" si="5"/>
        <v>0</v>
      </c>
      <c r="Y34" s="136">
        <f t="shared" si="5"/>
        <v>0</v>
      </c>
      <c r="Z34" s="136">
        <f t="shared" si="5"/>
        <v>0</v>
      </c>
      <c r="AA34" s="136">
        <f t="shared" si="5"/>
        <v>0</v>
      </c>
      <c r="AB34" s="136">
        <f t="shared" si="5"/>
        <v>0</v>
      </c>
      <c r="AC34" s="136">
        <f t="shared" si="5"/>
        <v>0</v>
      </c>
      <c r="AD34" s="136">
        <f t="shared" si="5"/>
        <v>0</v>
      </c>
      <c r="AE34" s="136">
        <f t="shared" si="5"/>
        <v>0</v>
      </c>
      <c r="AF34" s="136">
        <f t="shared" si="5"/>
        <v>0</v>
      </c>
      <c r="AG34" s="136">
        <f t="shared" si="5"/>
        <v>0</v>
      </c>
      <c r="AH34" s="136">
        <f t="shared" si="5"/>
        <v>0</v>
      </c>
      <c r="AI34" s="136">
        <f t="shared" si="5"/>
        <v>1</v>
      </c>
      <c r="AJ34" s="136">
        <f t="shared" si="5"/>
        <v>1</v>
      </c>
      <c r="AK34" s="136">
        <f t="shared" si="5"/>
        <v>0</v>
      </c>
      <c r="AL34" s="136">
        <f t="shared" si="5"/>
        <v>0</v>
      </c>
      <c r="AM34" s="136">
        <f t="shared" si="5"/>
        <v>0</v>
      </c>
      <c r="AN34" s="136">
        <f t="shared" si="5"/>
        <v>0</v>
      </c>
      <c r="AO34" s="136">
        <f t="shared" si="5"/>
        <v>0</v>
      </c>
      <c r="AP34" s="136">
        <f t="shared" si="5"/>
        <v>1</v>
      </c>
      <c r="AQ34" s="136">
        <f t="shared" si="5"/>
        <v>1</v>
      </c>
      <c r="AR34" s="136">
        <f t="shared" si="5"/>
        <v>0</v>
      </c>
      <c r="AS34" s="136">
        <f t="shared" si="5"/>
        <v>0</v>
      </c>
      <c r="AT34" s="136">
        <f t="shared" si="5"/>
        <v>1</v>
      </c>
      <c r="AU34" s="136">
        <f t="shared" si="5"/>
        <v>1</v>
      </c>
      <c r="AV34" s="136">
        <f t="shared" si="5"/>
        <v>1</v>
      </c>
      <c r="AW34" s="136">
        <f t="shared" si="5"/>
        <v>1</v>
      </c>
      <c r="AX34" s="136">
        <f t="shared" si="5"/>
        <v>0</v>
      </c>
      <c r="AY34" s="136">
        <f t="shared" si="5"/>
        <v>0</v>
      </c>
      <c r="AZ34" s="136">
        <f t="shared" si="5"/>
        <v>0</v>
      </c>
      <c r="BA34" s="136">
        <f t="shared" si="5"/>
        <v>0</v>
      </c>
      <c r="BB34" s="136">
        <f t="shared" si="5"/>
        <v>0</v>
      </c>
      <c r="BC34" s="136">
        <f t="shared" si="5"/>
        <v>0</v>
      </c>
      <c r="BD34" s="136">
        <f t="shared" si="5"/>
        <v>0</v>
      </c>
      <c r="BE34" s="136">
        <f t="shared" si="5"/>
        <v>0</v>
      </c>
      <c r="BF34" s="136">
        <f t="shared" si="5"/>
        <v>0</v>
      </c>
      <c r="BG34" s="136">
        <f t="shared" si="5"/>
        <v>0</v>
      </c>
      <c r="BH34" s="136">
        <f t="shared" si="5"/>
        <v>0</v>
      </c>
      <c r="BI34" s="136">
        <f t="shared" si="5"/>
        <v>0</v>
      </c>
      <c r="BJ34" s="136">
        <f t="shared" si="5"/>
        <v>0</v>
      </c>
      <c r="BK34" s="136">
        <f t="shared" si="5"/>
        <v>0</v>
      </c>
      <c r="BL34" s="136">
        <f t="shared" si="5"/>
        <v>0</v>
      </c>
      <c r="BM34" s="136">
        <f t="shared" si="5"/>
        <v>0</v>
      </c>
      <c r="BN34" s="136">
        <f t="shared" si="5"/>
        <v>0</v>
      </c>
      <c r="BO34" s="136">
        <f t="shared" si="5"/>
        <v>0</v>
      </c>
      <c r="BP34" s="136">
        <f t="shared" si="5"/>
        <v>0</v>
      </c>
      <c r="BQ34" s="136">
        <f t="shared" si="5"/>
        <v>0</v>
      </c>
      <c r="BR34" s="136">
        <f t="shared" si="5"/>
        <v>0</v>
      </c>
      <c r="BS34" s="136">
        <f t="shared" si="5"/>
        <v>0</v>
      </c>
      <c r="BT34" s="136">
        <f t="shared" si="5"/>
        <v>0</v>
      </c>
      <c r="BU34" s="136">
        <f t="shared" si="5"/>
        <v>0</v>
      </c>
      <c r="BV34" s="136">
        <f t="shared" si="5"/>
        <v>0</v>
      </c>
      <c r="BW34" s="136">
        <f t="shared" si="3"/>
        <v>0</v>
      </c>
      <c r="BX34" s="136">
        <f t="shared" si="3"/>
        <v>0</v>
      </c>
      <c r="BY34" s="136">
        <f t="shared" si="3"/>
        <v>0</v>
      </c>
      <c r="BZ34" s="136">
        <f t="shared" si="3"/>
        <v>0</v>
      </c>
      <c r="CA34" s="136">
        <f t="shared" si="3"/>
        <v>0</v>
      </c>
      <c r="CB34" s="136">
        <f t="shared" si="3"/>
        <v>0</v>
      </c>
      <c r="CC34" s="136">
        <f t="shared" si="3"/>
        <v>0</v>
      </c>
      <c r="CD34" s="136">
        <f t="shared" si="3"/>
        <v>0</v>
      </c>
      <c r="CE34" s="136">
        <f t="shared" si="3"/>
        <v>0</v>
      </c>
      <c r="CF34" s="136">
        <f t="shared" si="3"/>
        <v>0</v>
      </c>
      <c r="CG34" s="136">
        <f t="shared" si="3"/>
        <v>0</v>
      </c>
      <c r="CH34" s="136">
        <f t="shared" si="3"/>
        <v>0</v>
      </c>
      <c r="CI34" s="136">
        <f t="shared" si="3"/>
        <v>0</v>
      </c>
      <c r="CJ34" s="136">
        <f t="shared" si="3"/>
        <v>0</v>
      </c>
      <c r="CK34" s="136">
        <f t="shared" si="3"/>
        <v>0</v>
      </c>
      <c r="CL34" s="136">
        <f t="shared" si="3"/>
        <v>0</v>
      </c>
      <c r="CM34" s="136">
        <f t="shared" si="3"/>
        <v>0</v>
      </c>
      <c r="CN34" s="136">
        <f t="shared" si="3"/>
        <v>0</v>
      </c>
      <c r="CO34" s="136">
        <f t="shared" si="3"/>
        <v>0</v>
      </c>
      <c r="CP34" s="136">
        <f t="shared" si="3"/>
        <v>0</v>
      </c>
      <c r="CQ34" s="74"/>
      <c r="CR34" s="73"/>
      <c r="CS34" s="42"/>
    </row>
    <row r="35" spans="1:97" x14ac:dyDescent="0.25">
      <c r="A35" s="73"/>
      <c r="B35" s="73"/>
      <c r="C35" s="73"/>
      <c r="D35" s="73"/>
      <c r="E35" s="73"/>
      <c r="F35" s="115" t="s">
        <v>40</v>
      </c>
      <c r="G35" s="115" t="s">
        <v>191</v>
      </c>
      <c r="H35" s="136"/>
      <c r="I35" s="136"/>
      <c r="J35" s="136">
        <f>IF($F35 = J$29, 1, 0)</f>
        <v>0</v>
      </c>
      <c r="K35" s="136">
        <f t="shared" si="5"/>
        <v>0</v>
      </c>
      <c r="L35" s="136">
        <f t="shared" si="5"/>
        <v>0</v>
      </c>
      <c r="M35" s="136">
        <f t="shared" si="5"/>
        <v>0</v>
      </c>
      <c r="N35" s="136">
        <f t="shared" si="5"/>
        <v>0</v>
      </c>
      <c r="O35" s="136">
        <f t="shared" si="5"/>
        <v>0</v>
      </c>
      <c r="P35" s="136">
        <f t="shared" si="5"/>
        <v>0</v>
      </c>
      <c r="Q35" s="136">
        <f t="shared" si="5"/>
        <v>0</v>
      </c>
      <c r="R35" s="136">
        <f t="shared" si="5"/>
        <v>0</v>
      </c>
      <c r="S35" s="136">
        <f t="shared" si="5"/>
        <v>0</v>
      </c>
      <c r="T35" s="136">
        <f t="shared" si="5"/>
        <v>0</v>
      </c>
      <c r="U35" s="136">
        <f t="shared" si="5"/>
        <v>0</v>
      </c>
      <c r="V35" s="136">
        <f t="shared" si="5"/>
        <v>0</v>
      </c>
      <c r="W35" s="136">
        <f t="shared" si="5"/>
        <v>1</v>
      </c>
      <c r="X35" s="136">
        <f t="shared" si="5"/>
        <v>1</v>
      </c>
      <c r="Y35" s="136">
        <f t="shared" si="5"/>
        <v>1</v>
      </c>
      <c r="Z35" s="136">
        <f t="shared" si="5"/>
        <v>1</v>
      </c>
      <c r="AA35" s="136">
        <f t="shared" si="5"/>
        <v>1</v>
      </c>
      <c r="AB35" s="136">
        <f t="shared" si="5"/>
        <v>1</v>
      </c>
      <c r="AC35" s="136">
        <f t="shared" si="5"/>
        <v>1</v>
      </c>
      <c r="AD35" s="136">
        <f t="shared" si="5"/>
        <v>1</v>
      </c>
      <c r="AE35" s="136">
        <f t="shared" si="5"/>
        <v>1</v>
      </c>
      <c r="AF35" s="136">
        <f t="shared" si="5"/>
        <v>1</v>
      </c>
      <c r="AG35" s="136">
        <f t="shared" si="5"/>
        <v>1</v>
      </c>
      <c r="AH35" s="136">
        <f t="shared" si="5"/>
        <v>1</v>
      </c>
      <c r="AI35" s="136">
        <f t="shared" si="5"/>
        <v>0</v>
      </c>
      <c r="AJ35" s="136">
        <f t="shared" si="5"/>
        <v>0</v>
      </c>
      <c r="AK35" s="136">
        <f t="shared" si="5"/>
        <v>1</v>
      </c>
      <c r="AL35" s="136">
        <f t="shared" si="5"/>
        <v>1</v>
      </c>
      <c r="AM35" s="136">
        <f t="shared" si="5"/>
        <v>1</v>
      </c>
      <c r="AN35" s="136">
        <f t="shared" si="5"/>
        <v>1</v>
      </c>
      <c r="AO35" s="136">
        <f t="shared" si="5"/>
        <v>1</v>
      </c>
      <c r="AP35" s="136">
        <f t="shared" si="5"/>
        <v>0</v>
      </c>
      <c r="AQ35" s="136">
        <f t="shared" si="5"/>
        <v>0</v>
      </c>
      <c r="AR35" s="136">
        <f t="shared" si="5"/>
        <v>1</v>
      </c>
      <c r="AS35" s="136">
        <f t="shared" si="5"/>
        <v>1</v>
      </c>
      <c r="AT35" s="136">
        <f t="shared" si="5"/>
        <v>0</v>
      </c>
      <c r="AU35" s="136">
        <f t="shared" si="5"/>
        <v>0</v>
      </c>
      <c r="AV35" s="136">
        <f t="shared" si="5"/>
        <v>0</v>
      </c>
      <c r="AW35" s="136">
        <f t="shared" si="5"/>
        <v>0</v>
      </c>
      <c r="AX35" s="136">
        <f t="shared" si="5"/>
        <v>0</v>
      </c>
      <c r="AY35" s="136">
        <f t="shared" si="5"/>
        <v>0</v>
      </c>
      <c r="AZ35" s="136">
        <f t="shared" si="5"/>
        <v>0</v>
      </c>
      <c r="BA35" s="136">
        <f t="shared" si="5"/>
        <v>0</v>
      </c>
      <c r="BB35" s="136">
        <f t="shared" si="5"/>
        <v>0</v>
      </c>
      <c r="BC35" s="136">
        <f t="shared" si="5"/>
        <v>0</v>
      </c>
      <c r="BD35" s="136">
        <f t="shared" si="5"/>
        <v>0</v>
      </c>
      <c r="BE35" s="136">
        <f t="shared" si="5"/>
        <v>0</v>
      </c>
      <c r="BF35" s="136">
        <f t="shared" si="5"/>
        <v>0</v>
      </c>
      <c r="BG35" s="136">
        <f t="shared" si="5"/>
        <v>0</v>
      </c>
      <c r="BH35" s="136">
        <f t="shared" si="5"/>
        <v>0</v>
      </c>
      <c r="BI35" s="136">
        <f t="shared" si="5"/>
        <v>0</v>
      </c>
      <c r="BJ35" s="136">
        <f t="shared" si="5"/>
        <v>0</v>
      </c>
      <c r="BK35" s="136">
        <f t="shared" si="5"/>
        <v>0</v>
      </c>
      <c r="BL35" s="136">
        <f t="shared" si="5"/>
        <v>0</v>
      </c>
      <c r="BM35" s="136">
        <f t="shared" si="5"/>
        <v>0</v>
      </c>
      <c r="BN35" s="136">
        <f t="shared" si="5"/>
        <v>0</v>
      </c>
      <c r="BO35" s="136">
        <f t="shared" si="5"/>
        <v>0</v>
      </c>
      <c r="BP35" s="136">
        <f t="shared" si="5"/>
        <v>0</v>
      </c>
      <c r="BQ35" s="136">
        <f t="shared" si="5"/>
        <v>0</v>
      </c>
      <c r="BR35" s="136">
        <f t="shared" si="5"/>
        <v>0</v>
      </c>
      <c r="BS35" s="136">
        <f t="shared" si="5"/>
        <v>0</v>
      </c>
      <c r="BT35" s="136">
        <f t="shared" si="5"/>
        <v>0</v>
      </c>
      <c r="BU35" s="136">
        <f t="shared" si="5"/>
        <v>0</v>
      </c>
      <c r="BV35" s="136">
        <f t="shared" si="5"/>
        <v>0</v>
      </c>
      <c r="BW35" s="136">
        <f t="shared" si="3"/>
        <v>0</v>
      </c>
      <c r="BX35" s="136">
        <f t="shared" si="3"/>
        <v>0</v>
      </c>
      <c r="BY35" s="136">
        <f t="shared" si="3"/>
        <v>0</v>
      </c>
      <c r="BZ35" s="136">
        <f t="shared" si="3"/>
        <v>0</v>
      </c>
      <c r="CA35" s="136">
        <f t="shared" si="3"/>
        <v>0</v>
      </c>
      <c r="CB35" s="136">
        <f t="shared" si="3"/>
        <v>0</v>
      </c>
      <c r="CC35" s="136">
        <f t="shared" si="3"/>
        <v>0</v>
      </c>
      <c r="CD35" s="136">
        <f t="shared" si="3"/>
        <v>0</v>
      </c>
      <c r="CE35" s="136">
        <f t="shared" si="3"/>
        <v>0</v>
      </c>
      <c r="CF35" s="136">
        <f t="shared" si="3"/>
        <v>0</v>
      </c>
      <c r="CG35" s="136">
        <f t="shared" si="3"/>
        <v>0</v>
      </c>
      <c r="CH35" s="136">
        <f t="shared" si="3"/>
        <v>0</v>
      </c>
      <c r="CI35" s="136">
        <f t="shared" si="3"/>
        <v>0</v>
      </c>
      <c r="CJ35" s="136">
        <f t="shared" si="3"/>
        <v>0</v>
      </c>
      <c r="CK35" s="136">
        <f t="shared" si="3"/>
        <v>0</v>
      </c>
      <c r="CL35" s="136">
        <f t="shared" si="3"/>
        <v>0</v>
      </c>
      <c r="CM35" s="136">
        <f t="shared" si="3"/>
        <v>0</v>
      </c>
      <c r="CN35" s="136">
        <f t="shared" si="3"/>
        <v>0</v>
      </c>
      <c r="CO35" s="136">
        <f t="shared" si="3"/>
        <v>1</v>
      </c>
      <c r="CP35" s="136">
        <f t="shared" si="3"/>
        <v>1</v>
      </c>
      <c r="CQ35" s="74"/>
      <c r="CR35" s="73"/>
      <c r="CS35" s="42"/>
    </row>
    <row r="36" spans="1:97" x14ac:dyDescent="0.25">
      <c r="A36" s="73"/>
      <c r="B36" s="73"/>
      <c r="C36" s="73"/>
      <c r="D36" s="73"/>
      <c r="E36" s="73"/>
      <c r="F36" s="117" t="s">
        <v>166</v>
      </c>
      <c r="G36" s="117" t="s">
        <v>191</v>
      </c>
      <c r="H36" s="140"/>
      <c r="I36" s="141"/>
      <c r="J36" s="141">
        <f>IF($F36 = J$29, 1, 0)</f>
        <v>0</v>
      </c>
      <c r="K36" s="141">
        <f t="shared" si="5"/>
        <v>0</v>
      </c>
      <c r="L36" s="141">
        <f t="shared" si="5"/>
        <v>0</v>
      </c>
      <c r="M36" s="141">
        <f t="shared" si="5"/>
        <v>0</v>
      </c>
      <c r="N36" s="141">
        <f t="shared" si="5"/>
        <v>0</v>
      </c>
      <c r="O36" s="141">
        <f t="shared" si="5"/>
        <v>0</v>
      </c>
      <c r="P36" s="141">
        <f t="shared" si="5"/>
        <v>0</v>
      </c>
      <c r="Q36" s="141">
        <f t="shared" si="5"/>
        <v>0</v>
      </c>
      <c r="R36" s="141">
        <f t="shared" si="5"/>
        <v>0</v>
      </c>
      <c r="S36" s="141">
        <f t="shared" si="5"/>
        <v>0</v>
      </c>
      <c r="T36" s="141">
        <f t="shared" si="5"/>
        <v>0</v>
      </c>
      <c r="U36" s="141">
        <f t="shared" si="5"/>
        <v>0</v>
      </c>
      <c r="V36" s="141">
        <f t="shared" si="5"/>
        <v>0</v>
      </c>
      <c r="W36" s="141">
        <f t="shared" si="5"/>
        <v>0</v>
      </c>
      <c r="X36" s="141">
        <f t="shared" si="5"/>
        <v>0</v>
      </c>
      <c r="Y36" s="141">
        <f t="shared" si="5"/>
        <v>0</v>
      </c>
      <c r="Z36" s="141">
        <f t="shared" si="5"/>
        <v>0</v>
      </c>
      <c r="AA36" s="141">
        <f t="shared" si="5"/>
        <v>0</v>
      </c>
      <c r="AB36" s="141">
        <f t="shared" si="5"/>
        <v>0</v>
      </c>
      <c r="AC36" s="141">
        <f t="shared" si="5"/>
        <v>0</v>
      </c>
      <c r="AD36" s="141">
        <f t="shared" si="5"/>
        <v>0</v>
      </c>
      <c r="AE36" s="141">
        <f t="shared" si="5"/>
        <v>0</v>
      </c>
      <c r="AF36" s="141">
        <f t="shared" si="5"/>
        <v>0</v>
      </c>
      <c r="AG36" s="141">
        <f t="shared" si="5"/>
        <v>0</v>
      </c>
      <c r="AH36" s="141">
        <f t="shared" si="5"/>
        <v>0</v>
      </c>
      <c r="AI36" s="141">
        <f t="shared" si="5"/>
        <v>0</v>
      </c>
      <c r="AJ36" s="141">
        <f t="shared" si="5"/>
        <v>0</v>
      </c>
      <c r="AK36" s="141">
        <f t="shared" si="5"/>
        <v>0</v>
      </c>
      <c r="AL36" s="141">
        <f t="shared" si="5"/>
        <v>0</v>
      </c>
      <c r="AM36" s="141">
        <f t="shared" si="5"/>
        <v>0</v>
      </c>
      <c r="AN36" s="141">
        <f t="shared" si="5"/>
        <v>0</v>
      </c>
      <c r="AO36" s="141">
        <f t="shared" si="5"/>
        <v>0</v>
      </c>
      <c r="AP36" s="141">
        <f t="shared" si="5"/>
        <v>0</v>
      </c>
      <c r="AQ36" s="141">
        <f t="shared" si="5"/>
        <v>0</v>
      </c>
      <c r="AR36" s="141">
        <f t="shared" si="5"/>
        <v>0</v>
      </c>
      <c r="AS36" s="141">
        <f t="shared" si="5"/>
        <v>0</v>
      </c>
      <c r="AT36" s="141">
        <f t="shared" si="5"/>
        <v>0</v>
      </c>
      <c r="AU36" s="141">
        <f t="shared" si="5"/>
        <v>0</v>
      </c>
      <c r="AV36" s="141">
        <f t="shared" si="5"/>
        <v>0</v>
      </c>
      <c r="AW36" s="141">
        <f t="shared" si="5"/>
        <v>0</v>
      </c>
      <c r="AX36" s="141">
        <f t="shared" si="5"/>
        <v>1</v>
      </c>
      <c r="AY36" s="141">
        <f t="shared" si="5"/>
        <v>1</v>
      </c>
      <c r="AZ36" s="141">
        <f t="shared" si="5"/>
        <v>1</v>
      </c>
      <c r="BA36" s="141">
        <f t="shared" si="5"/>
        <v>1</v>
      </c>
      <c r="BB36" s="141">
        <f t="shared" si="5"/>
        <v>1</v>
      </c>
      <c r="BC36" s="141">
        <f t="shared" si="5"/>
        <v>1</v>
      </c>
      <c r="BD36" s="141">
        <f t="shared" si="5"/>
        <v>1</v>
      </c>
      <c r="BE36" s="141">
        <f t="shared" si="5"/>
        <v>1</v>
      </c>
      <c r="BF36" s="141">
        <f t="shared" si="5"/>
        <v>1</v>
      </c>
      <c r="BG36" s="141">
        <f t="shared" si="5"/>
        <v>1</v>
      </c>
      <c r="BH36" s="141">
        <f t="shared" si="5"/>
        <v>1</v>
      </c>
      <c r="BI36" s="141">
        <f t="shared" si="5"/>
        <v>1</v>
      </c>
      <c r="BJ36" s="141">
        <f t="shared" si="5"/>
        <v>1</v>
      </c>
      <c r="BK36" s="141">
        <f t="shared" si="5"/>
        <v>1</v>
      </c>
      <c r="BL36" s="141">
        <f t="shared" si="5"/>
        <v>1</v>
      </c>
      <c r="BM36" s="141">
        <f t="shared" si="5"/>
        <v>1</v>
      </c>
      <c r="BN36" s="141">
        <f t="shared" si="5"/>
        <v>1</v>
      </c>
      <c r="BO36" s="141">
        <f t="shared" si="5"/>
        <v>1</v>
      </c>
      <c r="BP36" s="141">
        <f t="shared" si="5"/>
        <v>1</v>
      </c>
      <c r="BQ36" s="141">
        <f t="shared" si="5"/>
        <v>1</v>
      </c>
      <c r="BR36" s="141">
        <f t="shared" si="5"/>
        <v>1</v>
      </c>
      <c r="BS36" s="141">
        <f t="shared" si="5"/>
        <v>1</v>
      </c>
      <c r="BT36" s="141">
        <f t="shared" si="5"/>
        <v>1</v>
      </c>
      <c r="BU36" s="141">
        <f t="shared" si="5"/>
        <v>1</v>
      </c>
      <c r="BV36" s="141">
        <f t="shared" si="5"/>
        <v>1</v>
      </c>
      <c r="BW36" s="141">
        <f t="shared" si="3"/>
        <v>1</v>
      </c>
      <c r="BX36" s="141">
        <f t="shared" si="3"/>
        <v>1</v>
      </c>
      <c r="BY36" s="141">
        <f t="shared" si="3"/>
        <v>1</v>
      </c>
      <c r="BZ36" s="141">
        <f t="shared" si="3"/>
        <v>1</v>
      </c>
      <c r="CA36" s="141">
        <f t="shared" si="3"/>
        <v>1</v>
      </c>
      <c r="CB36" s="141">
        <f t="shared" si="3"/>
        <v>1</v>
      </c>
      <c r="CC36" s="141">
        <f t="shared" si="3"/>
        <v>1</v>
      </c>
      <c r="CD36" s="141">
        <f t="shared" si="3"/>
        <v>1</v>
      </c>
      <c r="CE36" s="141">
        <f t="shared" si="3"/>
        <v>1</v>
      </c>
      <c r="CF36" s="141">
        <f t="shared" si="3"/>
        <v>1</v>
      </c>
      <c r="CG36" s="141">
        <f t="shared" si="3"/>
        <v>1</v>
      </c>
      <c r="CH36" s="141">
        <f t="shared" si="3"/>
        <v>1</v>
      </c>
      <c r="CI36" s="141">
        <f t="shared" si="3"/>
        <v>1</v>
      </c>
      <c r="CJ36" s="141">
        <f t="shared" si="3"/>
        <v>1</v>
      </c>
      <c r="CK36" s="141">
        <f t="shared" si="3"/>
        <v>1</v>
      </c>
      <c r="CL36" s="141">
        <f t="shared" si="3"/>
        <v>1</v>
      </c>
      <c r="CM36" s="141">
        <f t="shared" si="3"/>
        <v>1</v>
      </c>
      <c r="CN36" s="141">
        <f t="shared" si="3"/>
        <v>1</v>
      </c>
      <c r="CO36" s="141">
        <f t="shared" si="3"/>
        <v>0</v>
      </c>
      <c r="CP36" s="141">
        <f t="shared" si="3"/>
        <v>0</v>
      </c>
      <c r="CQ36" s="74"/>
      <c r="CR36" s="73"/>
      <c r="CS36" s="42"/>
    </row>
    <row r="37" spans="1:97" x14ac:dyDescent="0.25">
      <c r="A37" s="73"/>
      <c r="B37" s="73"/>
      <c r="C37" s="73"/>
      <c r="D37" s="73"/>
      <c r="E37" s="73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3"/>
      <c r="CS37" s="42"/>
    </row>
    <row r="38" spans="1:97" x14ac:dyDescent="0.25">
      <c r="A38" s="73"/>
      <c r="B38" s="73"/>
      <c r="C38" s="73"/>
      <c r="D38" s="73"/>
      <c r="E38" s="115" t="s">
        <v>525</v>
      </c>
      <c r="F38" s="73"/>
      <c r="G38" s="115" t="s">
        <v>231</v>
      </c>
      <c r="H38" s="136"/>
      <c r="I38" s="136"/>
      <c r="J38" s="136">
        <f>IF(SUM(J32:J36) = 1, 0, 1)</f>
        <v>0</v>
      </c>
      <c r="K38" s="136">
        <f t="shared" ref="K38:BV38" si="6">IF(SUM(K32:K36) = 1, 0, 1)</f>
        <v>0</v>
      </c>
      <c r="L38" s="136">
        <f t="shared" si="6"/>
        <v>0</v>
      </c>
      <c r="M38" s="136">
        <f t="shared" si="6"/>
        <v>0</v>
      </c>
      <c r="N38" s="136">
        <f t="shared" si="6"/>
        <v>0</v>
      </c>
      <c r="O38" s="136">
        <f t="shared" si="6"/>
        <v>0</v>
      </c>
      <c r="P38" s="136">
        <f t="shared" si="6"/>
        <v>0</v>
      </c>
      <c r="Q38" s="136">
        <f t="shared" si="6"/>
        <v>0</v>
      </c>
      <c r="R38" s="136">
        <f t="shared" si="6"/>
        <v>0</v>
      </c>
      <c r="S38" s="136">
        <f t="shared" si="6"/>
        <v>0</v>
      </c>
      <c r="T38" s="136">
        <f t="shared" si="6"/>
        <v>0</v>
      </c>
      <c r="U38" s="136">
        <f t="shared" si="6"/>
        <v>0</v>
      </c>
      <c r="V38" s="136">
        <f t="shared" si="6"/>
        <v>0</v>
      </c>
      <c r="W38" s="136">
        <f t="shared" si="6"/>
        <v>0</v>
      </c>
      <c r="X38" s="136">
        <f t="shared" si="6"/>
        <v>0</v>
      </c>
      <c r="Y38" s="136">
        <f t="shared" si="6"/>
        <v>0</v>
      </c>
      <c r="Z38" s="136">
        <f t="shared" si="6"/>
        <v>0</v>
      </c>
      <c r="AA38" s="136">
        <f t="shared" si="6"/>
        <v>0</v>
      </c>
      <c r="AB38" s="136">
        <f t="shared" si="6"/>
        <v>0</v>
      </c>
      <c r="AC38" s="136">
        <f t="shared" si="6"/>
        <v>0</v>
      </c>
      <c r="AD38" s="136">
        <f t="shared" si="6"/>
        <v>0</v>
      </c>
      <c r="AE38" s="136">
        <f t="shared" si="6"/>
        <v>0</v>
      </c>
      <c r="AF38" s="136">
        <f t="shared" si="6"/>
        <v>0</v>
      </c>
      <c r="AG38" s="136">
        <f t="shared" si="6"/>
        <v>0</v>
      </c>
      <c r="AH38" s="136">
        <f t="shared" si="6"/>
        <v>0</v>
      </c>
      <c r="AI38" s="136">
        <f t="shared" si="6"/>
        <v>0</v>
      </c>
      <c r="AJ38" s="136">
        <f t="shared" si="6"/>
        <v>0</v>
      </c>
      <c r="AK38" s="136">
        <f t="shared" si="6"/>
        <v>0</v>
      </c>
      <c r="AL38" s="136">
        <f t="shared" si="6"/>
        <v>0</v>
      </c>
      <c r="AM38" s="136">
        <f t="shared" si="6"/>
        <v>0</v>
      </c>
      <c r="AN38" s="136">
        <f t="shared" si="6"/>
        <v>0</v>
      </c>
      <c r="AO38" s="136">
        <f t="shared" si="6"/>
        <v>0</v>
      </c>
      <c r="AP38" s="136">
        <f t="shared" si="6"/>
        <v>0</v>
      </c>
      <c r="AQ38" s="136">
        <f t="shared" si="6"/>
        <v>0</v>
      </c>
      <c r="AR38" s="136">
        <f t="shared" si="6"/>
        <v>0</v>
      </c>
      <c r="AS38" s="136">
        <f t="shared" si="6"/>
        <v>0</v>
      </c>
      <c r="AT38" s="136">
        <f t="shared" si="6"/>
        <v>0</v>
      </c>
      <c r="AU38" s="136">
        <f t="shared" si="6"/>
        <v>0</v>
      </c>
      <c r="AV38" s="136">
        <f t="shared" si="6"/>
        <v>0</v>
      </c>
      <c r="AW38" s="136">
        <f t="shared" si="6"/>
        <v>0</v>
      </c>
      <c r="AX38" s="136">
        <f t="shared" si="6"/>
        <v>0</v>
      </c>
      <c r="AY38" s="136">
        <f t="shared" si="6"/>
        <v>0</v>
      </c>
      <c r="AZ38" s="136">
        <f t="shared" si="6"/>
        <v>0</v>
      </c>
      <c r="BA38" s="136">
        <f t="shared" si="6"/>
        <v>0</v>
      </c>
      <c r="BB38" s="136">
        <f t="shared" si="6"/>
        <v>0</v>
      </c>
      <c r="BC38" s="136">
        <f t="shared" si="6"/>
        <v>0</v>
      </c>
      <c r="BD38" s="136">
        <f t="shared" si="6"/>
        <v>0</v>
      </c>
      <c r="BE38" s="136">
        <f t="shared" si="6"/>
        <v>0</v>
      </c>
      <c r="BF38" s="136">
        <f t="shared" si="6"/>
        <v>0</v>
      </c>
      <c r="BG38" s="136">
        <f t="shared" si="6"/>
        <v>0</v>
      </c>
      <c r="BH38" s="136">
        <f t="shared" si="6"/>
        <v>0</v>
      </c>
      <c r="BI38" s="136">
        <f t="shared" si="6"/>
        <v>0</v>
      </c>
      <c r="BJ38" s="136">
        <f t="shared" si="6"/>
        <v>0</v>
      </c>
      <c r="BK38" s="136">
        <f t="shared" si="6"/>
        <v>0</v>
      </c>
      <c r="BL38" s="136">
        <f t="shared" si="6"/>
        <v>0</v>
      </c>
      <c r="BM38" s="136">
        <f t="shared" si="6"/>
        <v>0</v>
      </c>
      <c r="BN38" s="136">
        <f t="shared" si="6"/>
        <v>0</v>
      </c>
      <c r="BO38" s="136">
        <f t="shared" si="6"/>
        <v>0</v>
      </c>
      <c r="BP38" s="136">
        <f t="shared" si="6"/>
        <v>0</v>
      </c>
      <c r="BQ38" s="136">
        <f t="shared" si="6"/>
        <v>0</v>
      </c>
      <c r="BR38" s="136">
        <f t="shared" si="6"/>
        <v>0</v>
      </c>
      <c r="BS38" s="136">
        <f t="shared" si="6"/>
        <v>0</v>
      </c>
      <c r="BT38" s="136">
        <f t="shared" si="6"/>
        <v>0</v>
      </c>
      <c r="BU38" s="136">
        <f t="shared" si="6"/>
        <v>0</v>
      </c>
      <c r="BV38" s="136">
        <f t="shared" si="6"/>
        <v>0</v>
      </c>
      <c r="BW38" s="136">
        <f t="shared" ref="BW38:CP38" si="7">IF(SUM(BW32:BW36) = 1, 0, 1)</f>
        <v>0</v>
      </c>
      <c r="BX38" s="136">
        <f t="shared" si="7"/>
        <v>0</v>
      </c>
      <c r="BY38" s="136">
        <f t="shared" si="7"/>
        <v>0</v>
      </c>
      <c r="BZ38" s="136">
        <f t="shared" si="7"/>
        <v>0</v>
      </c>
      <c r="CA38" s="136">
        <f t="shared" si="7"/>
        <v>0</v>
      </c>
      <c r="CB38" s="136">
        <f t="shared" si="7"/>
        <v>0</v>
      </c>
      <c r="CC38" s="136">
        <f t="shared" si="7"/>
        <v>0</v>
      </c>
      <c r="CD38" s="136">
        <f t="shared" si="7"/>
        <v>0</v>
      </c>
      <c r="CE38" s="136">
        <f t="shared" si="7"/>
        <v>0</v>
      </c>
      <c r="CF38" s="136">
        <f t="shared" si="7"/>
        <v>0</v>
      </c>
      <c r="CG38" s="136">
        <f t="shared" si="7"/>
        <v>0</v>
      </c>
      <c r="CH38" s="136">
        <f t="shared" si="7"/>
        <v>0</v>
      </c>
      <c r="CI38" s="136">
        <f t="shared" si="7"/>
        <v>0</v>
      </c>
      <c r="CJ38" s="136">
        <f t="shared" si="7"/>
        <v>0</v>
      </c>
      <c r="CK38" s="136">
        <f t="shared" si="7"/>
        <v>0</v>
      </c>
      <c r="CL38" s="136">
        <f t="shared" si="7"/>
        <v>0</v>
      </c>
      <c r="CM38" s="136">
        <f t="shared" si="7"/>
        <v>0</v>
      </c>
      <c r="CN38" s="136">
        <f t="shared" si="7"/>
        <v>0</v>
      </c>
      <c r="CO38" s="136">
        <f t="shared" si="7"/>
        <v>0</v>
      </c>
      <c r="CP38" s="136">
        <f t="shared" si="7"/>
        <v>0</v>
      </c>
      <c r="CQ38" s="74"/>
      <c r="CR38" s="73"/>
      <c r="CS38" s="42"/>
    </row>
    <row r="39" spans="1:97" x14ac:dyDescent="0.25">
      <c r="A39" s="73"/>
      <c r="B39" s="73"/>
      <c r="C39" s="73"/>
      <c r="D39" s="73"/>
      <c r="E39" s="115" t="s">
        <v>232</v>
      </c>
      <c r="F39" s="73"/>
      <c r="G39" s="115" t="s">
        <v>231</v>
      </c>
      <c r="H39" s="136">
        <f>SUM(J38:CP38)</f>
        <v>0</v>
      </c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74"/>
      <c r="CR39" s="73"/>
      <c r="CS39" s="42"/>
    </row>
    <row r="40" spans="1:9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3"/>
      <c r="CS40" s="42"/>
    </row>
    <row r="41" spans="1:97" x14ac:dyDescent="0.25">
      <c r="A41" s="73"/>
      <c r="B41" s="73"/>
      <c r="C41" s="73"/>
      <c r="D41" s="73"/>
      <c r="E41" s="115" t="str">
        <f>'Fixed inputs'!E285</f>
        <v>Extended mapping of MEAV asset categories to network levels</v>
      </c>
      <c r="F41" s="73"/>
      <c r="G41" s="115" t="str">
        <f>'Fixed inputs'!G286</f>
        <v>network level</v>
      </c>
      <c r="H41" s="130"/>
      <c r="I41" s="130"/>
      <c r="J41" s="152" t="str">
        <f>'Fixed inputs'!H286</f>
        <v>-</v>
      </c>
      <c r="K41" s="152" t="str">
        <f>'Fixed inputs'!H287</f>
        <v>-</v>
      </c>
      <c r="L41" s="152" t="str">
        <f>'Fixed inputs'!H288</f>
        <v>-</v>
      </c>
      <c r="M41" s="152" t="str">
        <f>'Fixed inputs'!H289</f>
        <v>-</v>
      </c>
      <c r="N41" s="152" t="str">
        <f>'Fixed inputs'!H290</f>
        <v>-</v>
      </c>
      <c r="O41" s="152" t="str">
        <f>'Fixed inputs'!H291</f>
        <v>-</v>
      </c>
      <c r="P41" s="152" t="str">
        <f>'Fixed inputs'!H292</f>
        <v>-</v>
      </c>
      <c r="Q41" s="152" t="str">
        <f>'Fixed inputs'!H293</f>
        <v>-</v>
      </c>
      <c r="R41" s="152" t="str">
        <f>'Fixed inputs'!H294</f>
        <v>-</v>
      </c>
      <c r="S41" s="152" t="str">
        <f>'Fixed inputs'!H295</f>
        <v>-</v>
      </c>
      <c r="T41" s="152" t="str">
        <f>'Fixed inputs'!H296</f>
        <v>-</v>
      </c>
      <c r="U41" s="152" t="str">
        <f>'Fixed inputs'!H297</f>
        <v>-</v>
      </c>
      <c r="V41" s="152" t="str">
        <f>'Fixed inputs'!H298</f>
        <v>-</v>
      </c>
      <c r="W41" s="152" t="str">
        <f>'Fixed inputs'!H299</f>
        <v>-</v>
      </c>
      <c r="X41" s="152" t="str">
        <f>'Fixed inputs'!H300</f>
        <v>-</v>
      </c>
      <c r="Y41" s="152" t="str">
        <f>'Fixed inputs'!H301</f>
        <v>-</v>
      </c>
      <c r="Z41" s="152" t="str">
        <f>'Fixed inputs'!H302</f>
        <v>-</v>
      </c>
      <c r="AA41" s="152" t="str">
        <f>'Fixed inputs'!H303</f>
        <v>-</v>
      </c>
      <c r="AB41" s="152" t="str">
        <f>'Fixed inputs'!H304</f>
        <v>-</v>
      </c>
      <c r="AC41" s="152" t="str">
        <f>'Fixed inputs'!H305</f>
        <v>-</v>
      </c>
      <c r="AD41" s="152" t="str">
        <f>'Fixed inputs'!H306</f>
        <v>-</v>
      </c>
      <c r="AE41" s="152" t="str">
        <f>'Fixed inputs'!H307</f>
        <v>-</v>
      </c>
      <c r="AF41" s="152" t="str">
        <f>'Fixed inputs'!H308</f>
        <v>EHV/HV</v>
      </c>
      <c r="AG41" s="152" t="str">
        <f>'Fixed inputs'!H309</f>
        <v>EHV/HV</v>
      </c>
      <c r="AH41" s="152" t="str">
        <f>'Fixed inputs'!H310</f>
        <v>-</v>
      </c>
      <c r="AI41" s="152" t="str">
        <f>'Fixed inputs'!H311</f>
        <v>-</v>
      </c>
      <c r="AJ41" s="152" t="str">
        <f>'Fixed inputs'!H312</f>
        <v>-</v>
      </c>
      <c r="AK41" s="152" t="str">
        <f>'Fixed inputs'!H313</f>
        <v>-</v>
      </c>
      <c r="AL41" s="152" t="str">
        <f>'Fixed inputs'!H314</f>
        <v>-</v>
      </c>
      <c r="AM41" s="152" t="str">
        <f>'Fixed inputs'!H315</f>
        <v>EHV/HV</v>
      </c>
      <c r="AN41" s="152" t="str">
        <f>'Fixed inputs'!H316</f>
        <v>EHV/HV</v>
      </c>
      <c r="AO41" s="152" t="str">
        <f>'Fixed inputs'!H317</f>
        <v>-</v>
      </c>
      <c r="AP41" s="152" t="str">
        <f>'Fixed inputs'!H318</f>
        <v>-</v>
      </c>
      <c r="AQ41" s="152" t="str">
        <f>'Fixed inputs'!H319</f>
        <v>-</v>
      </c>
      <c r="AR41" s="152" t="str">
        <f>'Fixed inputs'!H320</f>
        <v>-</v>
      </c>
      <c r="AS41" s="152" t="str">
        <f>'Fixed inputs'!H321</f>
        <v>-</v>
      </c>
      <c r="AT41" s="152" t="str">
        <f>'Fixed inputs'!H322</f>
        <v>-</v>
      </c>
      <c r="AU41" s="152" t="str">
        <f>'Fixed inputs'!H323</f>
        <v>-</v>
      </c>
      <c r="AV41" s="152" t="str">
        <f>'Fixed inputs'!H324</f>
        <v>-</v>
      </c>
      <c r="AW41" s="152" t="str">
        <f>'Fixed inputs'!H325</f>
        <v>-</v>
      </c>
      <c r="AX41" s="152" t="str">
        <f>'Fixed inputs'!H326</f>
        <v>EHV</v>
      </c>
      <c r="AY41" s="152" t="str">
        <f>'Fixed inputs'!H327</f>
        <v>EHV</v>
      </c>
      <c r="AZ41" s="152" t="str">
        <f>'Fixed inputs'!H328</f>
        <v>EHV</v>
      </c>
      <c r="BA41" s="152" t="str">
        <f>'Fixed inputs'!H329</f>
        <v>EHV</v>
      </c>
      <c r="BB41" s="152" t="str">
        <f>'Fixed inputs'!H330</f>
        <v>EHV</v>
      </c>
      <c r="BC41" s="152" t="str">
        <f>'Fixed inputs'!H331</f>
        <v>EHV</v>
      </c>
      <c r="BD41" s="152" t="str">
        <f>'Fixed inputs'!H332</f>
        <v>EHV</v>
      </c>
      <c r="BE41" s="152" t="str">
        <f>'Fixed inputs'!H333</f>
        <v>EHV</v>
      </c>
      <c r="BF41" s="152" t="str">
        <f>'Fixed inputs'!H334</f>
        <v>EHV</v>
      </c>
      <c r="BG41" s="152" t="str">
        <f>'Fixed inputs'!H335</f>
        <v>EHV</v>
      </c>
      <c r="BH41" s="152" t="str">
        <f>'Fixed inputs'!H336</f>
        <v>EHV</v>
      </c>
      <c r="BI41" s="152" t="str">
        <f>'Fixed inputs'!H337</f>
        <v>EHV</v>
      </c>
      <c r="BJ41" s="152" t="str">
        <f>'Fixed inputs'!H338</f>
        <v>EHV</v>
      </c>
      <c r="BK41" s="152" t="str">
        <f>'Fixed inputs'!H339</f>
        <v>EHV</v>
      </c>
      <c r="BL41" s="152" t="str">
        <f>'Fixed inputs'!H340</f>
        <v>EHV</v>
      </c>
      <c r="BM41" s="152" t="str">
        <f>'Fixed inputs'!H341</f>
        <v>132kV/EHV</v>
      </c>
      <c r="BN41" s="152" t="str">
        <f>'Fixed inputs'!H342</f>
        <v>132kV/EHV</v>
      </c>
      <c r="BO41" s="152" t="str">
        <f>'Fixed inputs'!H343</f>
        <v>132kV/EHV</v>
      </c>
      <c r="BP41" s="152" t="str">
        <f>'Fixed inputs'!H344</f>
        <v>132kV/EHV</v>
      </c>
      <c r="BQ41" s="152" t="str">
        <f>'Fixed inputs'!H345</f>
        <v>132kV/EHV</v>
      </c>
      <c r="BR41" s="152" t="str">
        <f>'Fixed inputs'!H346</f>
        <v>EHV/HV</v>
      </c>
      <c r="BS41" s="152" t="str">
        <f>'Fixed inputs'!H347</f>
        <v>132kV/EHV</v>
      </c>
      <c r="BT41" s="152" t="str">
        <f>'Fixed inputs'!H348</f>
        <v>EHV/HV</v>
      </c>
      <c r="BU41" s="152" t="str">
        <f>'Fixed inputs'!H349</f>
        <v>EHV/HV</v>
      </c>
      <c r="BV41" s="152" t="str">
        <f>'Fixed inputs'!H350</f>
        <v>EHV/HV</v>
      </c>
      <c r="BW41" s="152" t="str">
        <f>'Fixed inputs'!H351</f>
        <v>EHV/HV</v>
      </c>
      <c r="BX41" s="152" t="str">
        <f>'Fixed inputs'!H352</f>
        <v>EHV/HV</v>
      </c>
      <c r="BY41" s="152" t="str">
        <f>'Fixed inputs'!H353</f>
        <v>EHV/HV</v>
      </c>
      <c r="BZ41" s="152" t="str">
        <f>'Fixed inputs'!H354</f>
        <v>132kV</v>
      </c>
      <c r="CA41" s="152" t="str">
        <f>'Fixed inputs'!H355</f>
        <v>132kV</v>
      </c>
      <c r="CB41" s="152" t="str">
        <f>'Fixed inputs'!H356</f>
        <v>132kV</v>
      </c>
      <c r="CC41" s="152" t="str">
        <f>'Fixed inputs'!H357</f>
        <v>132kV</v>
      </c>
      <c r="CD41" s="152" t="str">
        <f>'Fixed inputs'!H358</f>
        <v>132kV</v>
      </c>
      <c r="CE41" s="152" t="str">
        <f>'Fixed inputs'!H359</f>
        <v>132kV</v>
      </c>
      <c r="CF41" s="152" t="str">
        <f>'Fixed inputs'!H360</f>
        <v>132kV</v>
      </c>
      <c r="CG41" s="152" t="str">
        <f>'Fixed inputs'!H361</f>
        <v>132kV</v>
      </c>
      <c r="CH41" s="152" t="str">
        <f>'Fixed inputs'!H362</f>
        <v>132kV</v>
      </c>
      <c r="CI41" s="152" t="str">
        <f>'Fixed inputs'!H363</f>
        <v>132kV</v>
      </c>
      <c r="CJ41" s="152" t="str">
        <f>'Fixed inputs'!H364</f>
        <v>132kV</v>
      </c>
      <c r="CK41" s="152" t="str">
        <f>'Fixed inputs'!H365</f>
        <v>132kV/EHV</v>
      </c>
      <c r="CL41" s="152" t="str">
        <f>'Fixed inputs'!H366</f>
        <v>132kV/EHV</v>
      </c>
      <c r="CM41" s="152" t="str">
        <f>'Fixed inputs'!H367</f>
        <v>EHV/HV</v>
      </c>
      <c r="CN41" s="152" t="str">
        <f>'Fixed inputs'!H368</f>
        <v>EHV/HV</v>
      </c>
      <c r="CO41" s="152" t="str">
        <f>'Fixed inputs'!H369</f>
        <v>-</v>
      </c>
      <c r="CP41" s="152" t="str">
        <f>'Fixed inputs'!H370</f>
        <v>-</v>
      </c>
      <c r="CQ41" s="74"/>
      <c r="CR41" s="73"/>
      <c r="CS41" s="42"/>
    </row>
    <row r="42" spans="1:97" x14ac:dyDescent="0.25">
      <c r="A42" s="73"/>
      <c r="B42" s="73"/>
      <c r="C42" s="73"/>
      <c r="D42" s="73"/>
      <c r="E42" s="109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3"/>
      <c r="CS42" s="42"/>
    </row>
    <row r="43" spans="1:97" x14ac:dyDescent="0.25">
      <c r="A43" s="115"/>
      <c r="B43" s="73"/>
      <c r="C43" s="73"/>
      <c r="D43" s="73"/>
      <c r="E43" s="112" t="s">
        <v>361</v>
      </c>
      <c r="F43" s="73"/>
      <c r="G43" s="73"/>
      <c r="H43" s="74"/>
      <c r="I43" s="132" t="s">
        <v>314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115" t="s">
        <v>573</v>
      </c>
      <c r="CS43" s="42"/>
    </row>
    <row r="44" spans="1:97" x14ac:dyDescent="0.25">
      <c r="A44" s="73"/>
      <c r="B44" s="73"/>
      <c r="C44" s="73"/>
      <c r="D44" s="73"/>
      <c r="E44" s="73"/>
      <c r="F44" s="113" t="s">
        <v>38</v>
      </c>
      <c r="G44" s="113" t="s">
        <v>191</v>
      </c>
      <c r="H44" s="138"/>
      <c r="I44" s="138"/>
      <c r="J44" s="138">
        <f>IF($F44 = J$41, 1, 0)</f>
        <v>0</v>
      </c>
      <c r="K44" s="138">
        <f t="shared" ref="K44:Z47" si="8">IF($F44 = K$41, 1, 0)</f>
        <v>0</v>
      </c>
      <c r="L44" s="138">
        <f t="shared" si="8"/>
        <v>0</v>
      </c>
      <c r="M44" s="138">
        <f t="shared" si="8"/>
        <v>0</v>
      </c>
      <c r="N44" s="138">
        <f t="shared" si="8"/>
        <v>0</v>
      </c>
      <c r="O44" s="138">
        <f t="shared" si="8"/>
        <v>0</v>
      </c>
      <c r="P44" s="138">
        <f t="shared" si="8"/>
        <v>0</v>
      </c>
      <c r="Q44" s="138">
        <f t="shared" si="8"/>
        <v>0</v>
      </c>
      <c r="R44" s="138">
        <f t="shared" si="8"/>
        <v>0</v>
      </c>
      <c r="S44" s="138">
        <f t="shared" si="8"/>
        <v>0</v>
      </c>
      <c r="T44" s="138">
        <f t="shared" si="8"/>
        <v>0</v>
      </c>
      <c r="U44" s="138">
        <f t="shared" si="8"/>
        <v>0</v>
      </c>
      <c r="V44" s="138">
        <f t="shared" si="8"/>
        <v>0</v>
      </c>
      <c r="W44" s="138">
        <f t="shared" si="8"/>
        <v>0</v>
      </c>
      <c r="X44" s="138">
        <f t="shared" si="8"/>
        <v>0</v>
      </c>
      <c r="Y44" s="138">
        <f t="shared" si="8"/>
        <v>0</v>
      </c>
      <c r="Z44" s="138">
        <f t="shared" si="8"/>
        <v>0</v>
      </c>
      <c r="AA44" s="138">
        <f t="shared" ref="AA44:AP47" si="9">IF($F44 = AA$41, 1, 0)</f>
        <v>0</v>
      </c>
      <c r="AB44" s="138">
        <f t="shared" si="9"/>
        <v>0</v>
      </c>
      <c r="AC44" s="138">
        <f t="shared" si="9"/>
        <v>0</v>
      </c>
      <c r="AD44" s="138">
        <f t="shared" si="9"/>
        <v>0</v>
      </c>
      <c r="AE44" s="138">
        <f t="shared" si="9"/>
        <v>0</v>
      </c>
      <c r="AF44" s="138">
        <f t="shared" si="9"/>
        <v>1</v>
      </c>
      <c r="AG44" s="138">
        <f t="shared" si="9"/>
        <v>1</v>
      </c>
      <c r="AH44" s="138">
        <f t="shared" si="9"/>
        <v>0</v>
      </c>
      <c r="AI44" s="138">
        <f t="shared" si="9"/>
        <v>0</v>
      </c>
      <c r="AJ44" s="138">
        <f t="shared" si="9"/>
        <v>0</v>
      </c>
      <c r="AK44" s="138">
        <f t="shared" si="9"/>
        <v>0</v>
      </c>
      <c r="AL44" s="138">
        <f t="shared" si="9"/>
        <v>0</v>
      </c>
      <c r="AM44" s="138">
        <f t="shared" si="9"/>
        <v>1</v>
      </c>
      <c r="AN44" s="138">
        <f t="shared" si="9"/>
        <v>1</v>
      </c>
      <c r="AO44" s="138">
        <f t="shared" si="9"/>
        <v>0</v>
      </c>
      <c r="AP44" s="138">
        <f t="shared" si="9"/>
        <v>0</v>
      </c>
      <c r="AQ44" s="138">
        <f t="shared" ref="AQ44:BF47" si="10">IF($F44 = AQ$41, 1, 0)</f>
        <v>0</v>
      </c>
      <c r="AR44" s="138">
        <f t="shared" si="10"/>
        <v>0</v>
      </c>
      <c r="AS44" s="138">
        <f t="shared" si="10"/>
        <v>0</v>
      </c>
      <c r="AT44" s="138">
        <f t="shared" si="10"/>
        <v>0</v>
      </c>
      <c r="AU44" s="138">
        <f t="shared" si="10"/>
        <v>0</v>
      </c>
      <c r="AV44" s="138">
        <f t="shared" si="10"/>
        <v>0</v>
      </c>
      <c r="AW44" s="138">
        <f t="shared" si="10"/>
        <v>0</v>
      </c>
      <c r="AX44" s="138">
        <f t="shared" si="10"/>
        <v>0</v>
      </c>
      <c r="AY44" s="138">
        <f t="shared" si="10"/>
        <v>0</v>
      </c>
      <c r="AZ44" s="138">
        <f t="shared" si="10"/>
        <v>0</v>
      </c>
      <c r="BA44" s="138">
        <f t="shared" si="10"/>
        <v>0</v>
      </c>
      <c r="BB44" s="138">
        <f t="shared" si="10"/>
        <v>0</v>
      </c>
      <c r="BC44" s="138">
        <f t="shared" si="10"/>
        <v>0</v>
      </c>
      <c r="BD44" s="138">
        <f t="shared" si="10"/>
        <v>0</v>
      </c>
      <c r="BE44" s="138">
        <f t="shared" si="10"/>
        <v>0</v>
      </c>
      <c r="BF44" s="138">
        <f t="shared" si="10"/>
        <v>0</v>
      </c>
      <c r="BG44" s="138">
        <f t="shared" ref="BG44:BV47" si="11">IF($F44 = BG$41, 1, 0)</f>
        <v>0</v>
      </c>
      <c r="BH44" s="138">
        <f t="shared" si="11"/>
        <v>0</v>
      </c>
      <c r="BI44" s="138">
        <f t="shared" si="11"/>
        <v>0</v>
      </c>
      <c r="BJ44" s="138">
        <f t="shared" si="11"/>
        <v>0</v>
      </c>
      <c r="BK44" s="138">
        <f t="shared" si="11"/>
        <v>0</v>
      </c>
      <c r="BL44" s="138">
        <f t="shared" si="11"/>
        <v>0</v>
      </c>
      <c r="BM44" s="138">
        <f t="shared" si="11"/>
        <v>0</v>
      </c>
      <c r="BN44" s="138">
        <f t="shared" si="11"/>
        <v>0</v>
      </c>
      <c r="BO44" s="138">
        <f t="shared" si="11"/>
        <v>0</v>
      </c>
      <c r="BP44" s="138">
        <f t="shared" si="11"/>
        <v>0</v>
      </c>
      <c r="BQ44" s="138">
        <f t="shared" si="11"/>
        <v>0</v>
      </c>
      <c r="BR44" s="138">
        <f t="shared" si="11"/>
        <v>1</v>
      </c>
      <c r="BS44" s="138">
        <f t="shared" si="11"/>
        <v>0</v>
      </c>
      <c r="BT44" s="138">
        <f t="shared" si="11"/>
        <v>1</v>
      </c>
      <c r="BU44" s="138">
        <f t="shared" si="11"/>
        <v>1</v>
      </c>
      <c r="BV44" s="138">
        <f t="shared" si="11"/>
        <v>1</v>
      </c>
      <c r="BW44" s="138">
        <f t="shared" ref="BW44:CL47" si="12">IF($F44 = BW$41, 1, 0)</f>
        <v>1</v>
      </c>
      <c r="BX44" s="138">
        <f t="shared" si="12"/>
        <v>1</v>
      </c>
      <c r="BY44" s="138">
        <f t="shared" si="12"/>
        <v>1</v>
      </c>
      <c r="BZ44" s="138">
        <f t="shared" si="12"/>
        <v>0</v>
      </c>
      <c r="CA44" s="138">
        <f t="shared" si="12"/>
        <v>0</v>
      </c>
      <c r="CB44" s="138">
        <f t="shared" si="12"/>
        <v>0</v>
      </c>
      <c r="CC44" s="138">
        <f t="shared" si="12"/>
        <v>0</v>
      </c>
      <c r="CD44" s="138">
        <f t="shared" si="12"/>
        <v>0</v>
      </c>
      <c r="CE44" s="138">
        <f t="shared" si="12"/>
        <v>0</v>
      </c>
      <c r="CF44" s="138">
        <f t="shared" si="12"/>
        <v>0</v>
      </c>
      <c r="CG44" s="138">
        <f t="shared" si="12"/>
        <v>0</v>
      </c>
      <c r="CH44" s="138">
        <f t="shared" si="12"/>
        <v>0</v>
      </c>
      <c r="CI44" s="138">
        <f t="shared" si="12"/>
        <v>0</v>
      </c>
      <c r="CJ44" s="138">
        <f t="shared" si="12"/>
        <v>0</v>
      </c>
      <c r="CK44" s="138">
        <f t="shared" si="12"/>
        <v>0</v>
      </c>
      <c r="CL44" s="138">
        <f t="shared" si="12"/>
        <v>0</v>
      </c>
      <c r="CM44" s="138">
        <f t="shared" ref="CM44:CP47" si="13">IF($F44 = CM$41, 1, 0)</f>
        <v>1</v>
      </c>
      <c r="CN44" s="138">
        <f t="shared" si="13"/>
        <v>1</v>
      </c>
      <c r="CO44" s="138">
        <f t="shared" si="13"/>
        <v>0</v>
      </c>
      <c r="CP44" s="138">
        <f t="shared" si="13"/>
        <v>0</v>
      </c>
      <c r="CQ44" s="74"/>
      <c r="CR44" s="73"/>
      <c r="CS44" s="42"/>
    </row>
    <row r="45" spans="1:97" x14ac:dyDescent="0.25">
      <c r="A45" s="73"/>
      <c r="B45" s="73"/>
      <c r="C45" s="73"/>
      <c r="D45" s="73"/>
      <c r="E45" s="73"/>
      <c r="F45" s="115" t="s">
        <v>37</v>
      </c>
      <c r="G45" s="115" t="s">
        <v>191</v>
      </c>
      <c r="H45" s="136"/>
      <c r="I45" s="136"/>
      <c r="J45" s="136">
        <f>IF($F45 = J$41, 1, 0)</f>
        <v>0</v>
      </c>
      <c r="K45" s="136">
        <f t="shared" si="8"/>
        <v>0</v>
      </c>
      <c r="L45" s="136">
        <f t="shared" si="8"/>
        <v>0</v>
      </c>
      <c r="M45" s="136">
        <f t="shared" si="8"/>
        <v>0</v>
      </c>
      <c r="N45" s="136">
        <f t="shared" si="8"/>
        <v>0</v>
      </c>
      <c r="O45" s="136">
        <f t="shared" si="8"/>
        <v>0</v>
      </c>
      <c r="P45" s="136">
        <f t="shared" si="8"/>
        <v>0</v>
      </c>
      <c r="Q45" s="136">
        <f t="shared" si="8"/>
        <v>0</v>
      </c>
      <c r="R45" s="136">
        <f t="shared" si="8"/>
        <v>0</v>
      </c>
      <c r="S45" s="136">
        <f t="shared" si="8"/>
        <v>0</v>
      </c>
      <c r="T45" s="136">
        <f t="shared" si="8"/>
        <v>0</v>
      </c>
      <c r="U45" s="136">
        <f t="shared" si="8"/>
        <v>0</v>
      </c>
      <c r="V45" s="136">
        <f t="shared" si="8"/>
        <v>0</v>
      </c>
      <c r="W45" s="136">
        <f t="shared" si="8"/>
        <v>0</v>
      </c>
      <c r="X45" s="136">
        <f t="shared" si="8"/>
        <v>0</v>
      </c>
      <c r="Y45" s="136">
        <f t="shared" si="8"/>
        <v>0</v>
      </c>
      <c r="Z45" s="136">
        <f t="shared" si="8"/>
        <v>0</v>
      </c>
      <c r="AA45" s="136">
        <f t="shared" si="9"/>
        <v>0</v>
      </c>
      <c r="AB45" s="136">
        <f t="shared" si="9"/>
        <v>0</v>
      </c>
      <c r="AC45" s="136">
        <f t="shared" si="9"/>
        <v>0</v>
      </c>
      <c r="AD45" s="136">
        <f t="shared" si="9"/>
        <v>0</v>
      </c>
      <c r="AE45" s="136">
        <f t="shared" si="9"/>
        <v>0</v>
      </c>
      <c r="AF45" s="136">
        <f t="shared" si="9"/>
        <v>0</v>
      </c>
      <c r="AG45" s="136">
        <f t="shared" si="9"/>
        <v>0</v>
      </c>
      <c r="AH45" s="136">
        <f t="shared" si="9"/>
        <v>0</v>
      </c>
      <c r="AI45" s="136">
        <f t="shared" si="9"/>
        <v>0</v>
      </c>
      <c r="AJ45" s="136">
        <f t="shared" si="9"/>
        <v>0</v>
      </c>
      <c r="AK45" s="136">
        <f t="shared" si="9"/>
        <v>0</v>
      </c>
      <c r="AL45" s="136">
        <f t="shared" si="9"/>
        <v>0</v>
      </c>
      <c r="AM45" s="136">
        <f t="shared" si="9"/>
        <v>0</v>
      </c>
      <c r="AN45" s="136">
        <f t="shared" si="9"/>
        <v>0</v>
      </c>
      <c r="AO45" s="136">
        <f t="shared" si="9"/>
        <v>0</v>
      </c>
      <c r="AP45" s="136">
        <f t="shared" si="9"/>
        <v>0</v>
      </c>
      <c r="AQ45" s="136">
        <f t="shared" si="10"/>
        <v>0</v>
      </c>
      <c r="AR45" s="136">
        <f t="shared" si="10"/>
        <v>0</v>
      </c>
      <c r="AS45" s="136">
        <f t="shared" si="10"/>
        <v>0</v>
      </c>
      <c r="AT45" s="136">
        <f t="shared" si="10"/>
        <v>0</v>
      </c>
      <c r="AU45" s="136">
        <f t="shared" si="10"/>
        <v>0</v>
      </c>
      <c r="AV45" s="136">
        <f t="shared" si="10"/>
        <v>0</v>
      </c>
      <c r="AW45" s="136">
        <f t="shared" si="10"/>
        <v>0</v>
      </c>
      <c r="AX45" s="136">
        <f t="shared" si="10"/>
        <v>1</v>
      </c>
      <c r="AY45" s="136">
        <f t="shared" si="10"/>
        <v>1</v>
      </c>
      <c r="AZ45" s="136">
        <f t="shared" si="10"/>
        <v>1</v>
      </c>
      <c r="BA45" s="136">
        <f t="shared" si="10"/>
        <v>1</v>
      </c>
      <c r="BB45" s="136">
        <f t="shared" si="10"/>
        <v>1</v>
      </c>
      <c r="BC45" s="136">
        <f t="shared" si="10"/>
        <v>1</v>
      </c>
      <c r="BD45" s="136">
        <f t="shared" si="10"/>
        <v>1</v>
      </c>
      <c r="BE45" s="136">
        <f t="shared" si="10"/>
        <v>1</v>
      </c>
      <c r="BF45" s="136">
        <f t="shared" si="10"/>
        <v>1</v>
      </c>
      <c r="BG45" s="136">
        <f t="shared" si="11"/>
        <v>1</v>
      </c>
      <c r="BH45" s="136">
        <f t="shared" si="11"/>
        <v>1</v>
      </c>
      <c r="BI45" s="136">
        <f t="shared" si="11"/>
        <v>1</v>
      </c>
      <c r="BJ45" s="136">
        <f t="shared" si="11"/>
        <v>1</v>
      </c>
      <c r="BK45" s="136">
        <f t="shared" si="11"/>
        <v>1</v>
      </c>
      <c r="BL45" s="136">
        <f t="shared" si="11"/>
        <v>1</v>
      </c>
      <c r="BM45" s="136">
        <f t="shared" si="11"/>
        <v>0</v>
      </c>
      <c r="BN45" s="136">
        <f t="shared" si="11"/>
        <v>0</v>
      </c>
      <c r="BO45" s="136">
        <f t="shared" si="11"/>
        <v>0</v>
      </c>
      <c r="BP45" s="136">
        <f t="shared" si="11"/>
        <v>0</v>
      </c>
      <c r="BQ45" s="136">
        <f t="shared" si="11"/>
        <v>0</v>
      </c>
      <c r="BR45" s="136">
        <f t="shared" si="11"/>
        <v>0</v>
      </c>
      <c r="BS45" s="136">
        <f t="shared" si="11"/>
        <v>0</v>
      </c>
      <c r="BT45" s="136">
        <f t="shared" si="11"/>
        <v>0</v>
      </c>
      <c r="BU45" s="136">
        <f t="shared" si="11"/>
        <v>0</v>
      </c>
      <c r="BV45" s="136">
        <f t="shared" si="11"/>
        <v>0</v>
      </c>
      <c r="BW45" s="136">
        <f t="shared" si="12"/>
        <v>0</v>
      </c>
      <c r="BX45" s="136">
        <f t="shared" si="12"/>
        <v>0</v>
      </c>
      <c r="BY45" s="136">
        <f t="shared" si="12"/>
        <v>0</v>
      </c>
      <c r="BZ45" s="136">
        <f t="shared" si="12"/>
        <v>0</v>
      </c>
      <c r="CA45" s="136">
        <f t="shared" si="12"/>
        <v>0</v>
      </c>
      <c r="CB45" s="136">
        <f t="shared" si="12"/>
        <v>0</v>
      </c>
      <c r="CC45" s="136">
        <f t="shared" si="12"/>
        <v>0</v>
      </c>
      <c r="CD45" s="136">
        <f t="shared" si="12"/>
        <v>0</v>
      </c>
      <c r="CE45" s="136">
        <f t="shared" si="12"/>
        <v>0</v>
      </c>
      <c r="CF45" s="136">
        <f t="shared" si="12"/>
        <v>0</v>
      </c>
      <c r="CG45" s="136">
        <f t="shared" si="12"/>
        <v>0</v>
      </c>
      <c r="CH45" s="136">
        <f t="shared" si="12"/>
        <v>0</v>
      </c>
      <c r="CI45" s="136">
        <f t="shared" si="12"/>
        <v>0</v>
      </c>
      <c r="CJ45" s="136">
        <f t="shared" si="12"/>
        <v>0</v>
      </c>
      <c r="CK45" s="136">
        <f t="shared" si="12"/>
        <v>0</v>
      </c>
      <c r="CL45" s="136">
        <f t="shared" si="12"/>
        <v>0</v>
      </c>
      <c r="CM45" s="136">
        <f t="shared" si="13"/>
        <v>0</v>
      </c>
      <c r="CN45" s="136">
        <f t="shared" si="13"/>
        <v>0</v>
      </c>
      <c r="CO45" s="136">
        <f t="shared" si="13"/>
        <v>0</v>
      </c>
      <c r="CP45" s="136">
        <f t="shared" si="13"/>
        <v>0</v>
      </c>
      <c r="CQ45" s="74"/>
      <c r="CR45" s="73"/>
      <c r="CS45" s="42"/>
    </row>
    <row r="46" spans="1:97" x14ac:dyDescent="0.25">
      <c r="A46" s="73"/>
      <c r="B46" s="73"/>
      <c r="C46" s="73"/>
      <c r="D46" s="73"/>
      <c r="E46" s="73"/>
      <c r="F46" s="115" t="s">
        <v>36</v>
      </c>
      <c r="G46" s="115" t="s">
        <v>191</v>
      </c>
      <c r="H46" s="136"/>
      <c r="I46" s="136"/>
      <c r="J46" s="136">
        <f>IF($F46 = J$41, 1, 0)</f>
        <v>0</v>
      </c>
      <c r="K46" s="136">
        <f t="shared" si="8"/>
        <v>0</v>
      </c>
      <c r="L46" s="136">
        <f t="shared" si="8"/>
        <v>0</v>
      </c>
      <c r="M46" s="136">
        <f t="shared" si="8"/>
        <v>0</v>
      </c>
      <c r="N46" s="136">
        <f t="shared" si="8"/>
        <v>0</v>
      </c>
      <c r="O46" s="136">
        <f t="shared" si="8"/>
        <v>0</v>
      </c>
      <c r="P46" s="136">
        <f t="shared" si="8"/>
        <v>0</v>
      </c>
      <c r="Q46" s="136">
        <f t="shared" si="8"/>
        <v>0</v>
      </c>
      <c r="R46" s="136">
        <f t="shared" si="8"/>
        <v>0</v>
      </c>
      <c r="S46" s="136">
        <f t="shared" si="8"/>
        <v>0</v>
      </c>
      <c r="T46" s="136">
        <f t="shared" si="8"/>
        <v>0</v>
      </c>
      <c r="U46" s="136">
        <f t="shared" si="8"/>
        <v>0</v>
      </c>
      <c r="V46" s="136">
        <f t="shared" si="8"/>
        <v>0</v>
      </c>
      <c r="W46" s="136">
        <f t="shared" si="8"/>
        <v>0</v>
      </c>
      <c r="X46" s="136">
        <f t="shared" si="8"/>
        <v>0</v>
      </c>
      <c r="Y46" s="136">
        <f t="shared" si="8"/>
        <v>0</v>
      </c>
      <c r="Z46" s="136">
        <f t="shared" si="8"/>
        <v>0</v>
      </c>
      <c r="AA46" s="136">
        <f t="shared" si="9"/>
        <v>0</v>
      </c>
      <c r="AB46" s="136">
        <f t="shared" si="9"/>
        <v>0</v>
      </c>
      <c r="AC46" s="136">
        <f t="shared" si="9"/>
        <v>0</v>
      </c>
      <c r="AD46" s="136">
        <f t="shared" si="9"/>
        <v>0</v>
      </c>
      <c r="AE46" s="136">
        <f t="shared" si="9"/>
        <v>0</v>
      </c>
      <c r="AF46" s="136">
        <f t="shared" si="9"/>
        <v>0</v>
      </c>
      <c r="AG46" s="136">
        <f t="shared" si="9"/>
        <v>0</v>
      </c>
      <c r="AH46" s="136">
        <f t="shared" si="9"/>
        <v>0</v>
      </c>
      <c r="AI46" s="136">
        <f t="shared" si="9"/>
        <v>0</v>
      </c>
      <c r="AJ46" s="136">
        <f t="shared" si="9"/>
        <v>0</v>
      </c>
      <c r="AK46" s="136">
        <f t="shared" si="9"/>
        <v>0</v>
      </c>
      <c r="AL46" s="136">
        <f t="shared" si="9"/>
        <v>0</v>
      </c>
      <c r="AM46" s="136">
        <f t="shared" si="9"/>
        <v>0</v>
      </c>
      <c r="AN46" s="136">
        <f t="shared" si="9"/>
        <v>0</v>
      </c>
      <c r="AO46" s="136">
        <f t="shared" si="9"/>
        <v>0</v>
      </c>
      <c r="AP46" s="136">
        <f t="shared" si="9"/>
        <v>0</v>
      </c>
      <c r="AQ46" s="136">
        <f t="shared" si="10"/>
        <v>0</v>
      </c>
      <c r="AR46" s="136">
        <f t="shared" si="10"/>
        <v>0</v>
      </c>
      <c r="AS46" s="136">
        <f t="shared" si="10"/>
        <v>0</v>
      </c>
      <c r="AT46" s="136">
        <f t="shared" si="10"/>
        <v>0</v>
      </c>
      <c r="AU46" s="136">
        <f t="shared" si="10"/>
        <v>0</v>
      </c>
      <c r="AV46" s="136">
        <f t="shared" si="10"/>
        <v>0</v>
      </c>
      <c r="AW46" s="136">
        <f t="shared" si="10"/>
        <v>0</v>
      </c>
      <c r="AX46" s="136">
        <f t="shared" si="10"/>
        <v>0</v>
      </c>
      <c r="AY46" s="136">
        <f t="shared" si="10"/>
        <v>0</v>
      </c>
      <c r="AZ46" s="136">
        <f t="shared" si="10"/>
        <v>0</v>
      </c>
      <c r="BA46" s="136">
        <f t="shared" si="10"/>
        <v>0</v>
      </c>
      <c r="BB46" s="136">
        <f t="shared" si="10"/>
        <v>0</v>
      </c>
      <c r="BC46" s="136">
        <f t="shared" si="10"/>
        <v>0</v>
      </c>
      <c r="BD46" s="136">
        <f t="shared" si="10"/>
        <v>0</v>
      </c>
      <c r="BE46" s="136">
        <f t="shared" si="10"/>
        <v>0</v>
      </c>
      <c r="BF46" s="136">
        <f t="shared" si="10"/>
        <v>0</v>
      </c>
      <c r="BG46" s="136">
        <f t="shared" si="11"/>
        <v>0</v>
      </c>
      <c r="BH46" s="136">
        <f t="shared" si="11"/>
        <v>0</v>
      </c>
      <c r="BI46" s="136">
        <f t="shared" si="11"/>
        <v>0</v>
      </c>
      <c r="BJ46" s="136">
        <f t="shared" si="11"/>
        <v>0</v>
      </c>
      <c r="BK46" s="136">
        <f t="shared" si="11"/>
        <v>0</v>
      </c>
      <c r="BL46" s="136">
        <f t="shared" si="11"/>
        <v>0</v>
      </c>
      <c r="BM46" s="136">
        <f t="shared" si="11"/>
        <v>1</v>
      </c>
      <c r="BN46" s="136">
        <f t="shared" si="11"/>
        <v>1</v>
      </c>
      <c r="BO46" s="136">
        <f t="shared" si="11"/>
        <v>1</v>
      </c>
      <c r="BP46" s="136">
        <f t="shared" si="11"/>
        <v>1</v>
      </c>
      <c r="BQ46" s="136">
        <f t="shared" si="11"/>
        <v>1</v>
      </c>
      <c r="BR46" s="136">
        <f t="shared" si="11"/>
        <v>0</v>
      </c>
      <c r="BS46" s="136">
        <f t="shared" si="11"/>
        <v>1</v>
      </c>
      <c r="BT46" s="136">
        <f t="shared" si="11"/>
        <v>0</v>
      </c>
      <c r="BU46" s="136">
        <f t="shared" si="11"/>
        <v>0</v>
      </c>
      <c r="BV46" s="136">
        <f t="shared" si="11"/>
        <v>0</v>
      </c>
      <c r="BW46" s="136">
        <f t="shared" si="12"/>
        <v>0</v>
      </c>
      <c r="BX46" s="136">
        <f t="shared" si="12"/>
        <v>0</v>
      </c>
      <c r="BY46" s="136">
        <f t="shared" si="12"/>
        <v>0</v>
      </c>
      <c r="BZ46" s="136">
        <f t="shared" si="12"/>
        <v>0</v>
      </c>
      <c r="CA46" s="136">
        <f t="shared" si="12"/>
        <v>0</v>
      </c>
      <c r="CB46" s="136">
        <f t="shared" si="12"/>
        <v>0</v>
      </c>
      <c r="CC46" s="136">
        <f t="shared" si="12"/>
        <v>0</v>
      </c>
      <c r="CD46" s="136">
        <f t="shared" si="12"/>
        <v>0</v>
      </c>
      <c r="CE46" s="136">
        <f t="shared" si="12"/>
        <v>0</v>
      </c>
      <c r="CF46" s="136">
        <f t="shared" si="12"/>
        <v>0</v>
      </c>
      <c r="CG46" s="136">
        <f t="shared" si="12"/>
        <v>0</v>
      </c>
      <c r="CH46" s="136">
        <f t="shared" si="12"/>
        <v>0</v>
      </c>
      <c r="CI46" s="136">
        <f t="shared" si="12"/>
        <v>0</v>
      </c>
      <c r="CJ46" s="136">
        <f t="shared" si="12"/>
        <v>0</v>
      </c>
      <c r="CK46" s="136">
        <f t="shared" si="12"/>
        <v>1</v>
      </c>
      <c r="CL46" s="136">
        <f t="shared" si="12"/>
        <v>1</v>
      </c>
      <c r="CM46" s="136">
        <f t="shared" si="13"/>
        <v>0</v>
      </c>
      <c r="CN46" s="136">
        <f t="shared" si="13"/>
        <v>0</v>
      </c>
      <c r="CO46" s="136">
        <f t="shared" si="13"/>
        <v>0</v>
      </c>
      <c r="CP46" s="136">
        <f t="shared" si="13"/>
        <v>0</v>
      </c>
      <c r="CQ46" s="74"/>
      <c r="CR46" s="73"/>
      <c r="CS46" s="42"/>
    </row>
    <row r="47" spans="1:97" x14ac:dyDescent="0.25">
      <c r="A47" s="73"/>
      <c r="B47" s="73"/>
      <c r="C47" s="73"/>
      <c r="D47" s="73"/>
      <c r="E47" s="73"/>
      <c r="F47" s="117" t="s">
        <v>35</v>
      </c>
      <c r="G47" s="117" t="s">
        <v>191</v>
      </c>
      <c r="H47" s="140"/>
      <c r="I47" s="141"/>
      <c r="J47" s="141">
        <f>IF($F47 = J$41, 1, 0)</f>
        <v>0</v>
      </c>
      <c r="K47" s="141">
        <f t="shared" si="8"/>
        <v>0</v>
      </c>
      <c r="L47" s="141">
        <f t="shared" si="8"/>
        <v>0</v>
      </c>
      <c r="M47" s="141">
        <f t="shared" si="8"/>
        <v>0</v>
      </c>
      <c r="N47" s="141">
        <f t="shared" si="8"/>
        <v>0</v>
      </c>
      <c r="O47" s="141">
        <f t="shared" si="8"/>
        <v>0</v>
      </c>
      <c r="P47" s="141">
        <f t="shared" si="8"/>
        <v>0</v>
      </c>
      <c r="Q47" s="141">
        <f t="shared" si="8"/>
        <v>0</v>
      </c>
      <c r="R47" s="141">
        <f t="shared" si="8"/>
        <v>0</v>
      </c>
      <c r="S47" s="141">
        <f t="shared" si="8"/>
        <v>0</v>
      </c>
      <c r="T47" s="141">
        <f t="shared" si="8"/>
        <v>0</v>
      </c>
      <c r="U47" s="141">
        <f t="shared" si="8"/>
        <v>0</v>
      </c>
      <c r="V47" s="141">
        <f t="shared" si="8"/>
        <v>0</v>
      </c>
      <c r="W47" s="141">
        <f t="shared" si="8"/>
        <v>0</v>
      </c>
      <c r="X47" s="141">
        <f t="shared" si="8"/>
        <v>0</v>
      </c>
      <c r="Y47" s="141">
        <f t="shared" si="8"/>
        <v>0</v>
      </c>
      <c r="Z47" s="141">
        <f t="shared" si="8"/>
        <v>0</v>
      </c>
      <c r="AA47" s="141">
        <f t="shared" si="9"/>
        <v>0</v>
      </c>
      <c r="AB47" s="141">
        <f t="shared" si="9"/>
        <v>0</v>
      </c>
      <c r="AC47" s="141">
        <f t="shared" si="9"/>
        <v>0</v>
      </c>
      <c r="AD47" s="141">
        <f t="shared" si="9"/>
        <v>0</v>
      </c>
      <c r="AE47" s="141">
        <f t="shared" si="9"/>
        <v>0</v>
      </c>
      <c r="AF47" s="141">
        <f t="shared" si="9"/>
        <v>0</v>
      </c>
      <c r="AG47" s="141">
        <f t="shared" si="9"/>
        <v>0</v>
      </c>
      <c r="AH47" s="141">
        <f t="shared" si="9"/>
        <v>0</v>
      </c>
      <c r="AI47" s="141">
        <f t="shared" si="9"/>
        <v>0</v>
      </c>
      <c r="AJ47" s="141">
        <f t="shared" si="9"/>
        <v>0</v>
      </c>
      <c r="AK47" s="141">
        <f t="shared" si="9"/>
        <v>0</v>
      </c>
      <c r="AL47" s="141">
        <f t="shared" si="9"/>
        <v>0</v>
      </c>
      <c r="AM47" s="141">
        <f t="shared" si="9"/>
        <v>0</v>
      </c>
      <c r="AN47" s="141">
        <f t="shared" si="9"/>
        <v>0</v>
      </c>
      <c r="AO47" s="141">
        <f t="shared" si="9"/>
        <v>0</v>
      </c>
      <c r="AP47" s="141">
        <f t="shared" si="9"/>
        <v>0</v>
      </c>
      <c r="AQ47" s="141">
        <f t="shared" si="10"/>
        <v>0</v>
      </c>
      <c r="AR47" s="141">
        <f t="shared" si="10"/>
        <v>0</v>
      </c>
      <c r="AS47" s="141">
        <f t="shared" si="10"/>
        <v>0</v>
      </c>
      <c r="AT47" s="141">
        <f t="shared" si="10"/>
        <v>0</v>
      </c>
      <c r="AU47" s="141">
        <f t="shared" si="10"/>
        <v>0</v>
      </c>
      <c r="AV47" s="141">
        <f t="shared" si="10"/>
        <v>0</v>
      </c>
      <c r="AW47" s="141">
        <f t="shared" si="10"/>
        <v>0</v>
      </c>
      <c r="AX47" s="141">
        <f t="shared" si="10"/>
        <v>0</v>
      </c>
      <c r="AY47" s="141">
        <f t="shared" si="10"/>
        <v>0</v>
      </c>
      <c r="AZ47" s="141">
        <f t="shared" si="10"/>
        <v>0</v>
      </c>
      <c r="BA47" s="141">
        <f t="shared" si="10"/>
        <v>0</v>
      </c>
      <c r="BB47" s="141">
        <f t="shared" si="10"/>
        <v>0</v>
      </c>
      <c r="BC47" s="141">
        <f t="shared" si="10"/>
        <v>0</v>
      </c>
      <c r="BD47" s="141">
        <f t="shared" si="10"/>
        <v>0</v>
      </c>
      <c r="BE47" s="141">
        <f t="shared" si="10"/>
        <v>0</v>
      </c>
      <c r="BF47" s="141">
        <f t="shared" si="10"/>
        <v>0</v>
      </c>
      <c r="BG47" s="141">
        <f t="shared" si="11"/>
        <v>0</v>
      </c>
      <c r="BH47" s="141">
        <f t="shared" si="11"/>
        <v>0</v>
      </c>
      <c r="BI47" s="141">
        <f t="shared" si="11"/>
        <v>0</v>
      </c>
      <c r="BJ47" s="141">
        <f t="shared" si="11"/>
        <v>0</v>
      </c>
      <c r="BK47" s="141">
        <f t="shared" si="11"/>
        <v>0</v>
      </c>
      <c r="BL47" s="141">
        <f t="shared" si="11"/>
        <v>0</v>
      </c>
      <c r="BM47" s="141">
        <f t="shared" si="11"/>
        <v>0</v>
      </c>
      <c r="BN47" s="141">
        <f t="shared" si="11"/>
        <v>0</v>
      </c>
      <c r="BO47" s="141">
        <f t="shared" si="11"/>
        <v>0</v>
      </c>
      <c r="BP47" s="141">
        <f t="shared" si="11"/>
        <v>0</v>
      </c>
      <c r="BQ47" s="141">
        <f t="shared" si="11"/>
        <v>0</v>
      </c>
      <c r="BR47" s="141">
        <f t="shared" si="11"/>
        <v>0</v>
      </c>
      <c r="BS47" s="141">
        <f t="shared" si="11"/>
        <v>0</v>
      </c>
      <c r="BT47" s="141">
        <f t="shared" si="11"/>
        <v>0</v>
      </c>
      <c r="BU47" s="141">
        <f t="shared" si="11"/>
        <v>0</v>
      </c>
      <c r="BV47" s="141">
        <f t="shared" si="11"/>
        <v>0</v>
      </c>
      <c r="BW47" s="141">
        <f t="shared" si="12"/>
        <v>0</v>
      </c>
      <c r="BX47" s="141">
        <f t="shared" si="12"/>
        <v>0</v>
      </c>
      <c r="BY47" s="141">
        <f t="shared" si="12"/>
        <v>0</v>
      </c>
      <c r="BZ47" s="141">
        <f t="shared" si="12"/>
        <v>1</v>
      </c>
      <c r="CA47" s="141">
        <f t="shared" si="12"/>
        <v>1</v>
      </c>
      <c r="CB47" s="141">
        <f t="shared" si="12"/>
        <v>1</v>
      </c>
      <c r="CC47" s="141">
        <f t="shared" si="12"/>
        <v>1</v>
      </c>
      <c r="CD47" s="141">
        <f t="shared" si="12"/>
        <v>1</v>
      </c>
      <c r="CE47" s="141">
        <f t="shared" si="12"/>
        <v>1</v>
      </c>
      <c r="CF47" s="141">
        <f t="shared" si="12"/>
        <v>1</v>
      </c>
      <c r="CG47" s="141">
        <f t="shared" si="12"/>
        <v>1</v>
      </c>
      <c r="CH47" s="141">
        <f t="shared" si="12"/>
        <v>1</v>
      </c>
      <c r="CI47" s="141">
        <f t="shared" si="12"/>
        <v>1</v>
      </c>
      <c r="CJ47" s="141">
        <f t="shared" si="12"/>
        <v>1</v>
      </c>
      <c r="CK47" s="141">
        <f t="shared" si="12"/>
        <v>0</v>
      </c>
      <c r="CL47" s="141">
        <f t="shared" si="12"/>
        <v>0</v>
      </c>
      <c r="CM47" s="141">
        <f t="shared" si="13"/>
        <v>0</v>
      </c>
      <c r="CN47" s="141">
        <f t="shared" si="13"/>
        <v>0</v>
      </c>
      <c r="CO47" s="141">
        <f t="shared" si="13"/>
        <v>0</v>
      </c>
      <c r="CP47" s="141">
        <f t="shared" si="13"/>
        <v>0</v>
      </c>
      <c r="CQ47" s="74"/>
      <c r="CR47" s="73"/>
      <c r="CS47" s="42"/>
    </row>
    <row r="48" spans="1:97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3"/>
      <c r="CS48" s="42"/>
    </row>
    <row r="49" spans="1:97" x14ac:dyDescent="0.25">
      <c r="A49" s="73"/>
      <c r="B49" s="101"/>
      <c r="C49" s="110" t="s">
        <v>713</v>
      </c>
      <c r="D49" s="110"/>
      <c r="E49" s="110"/>
      <c r="F49" s="110"/>
      <c r="G49" s="110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0"/>
      <c r="CS49" s="42"/>
    </row>
    <row r="50" spans="1:97" x14ac:dyDescent="0.25">
      <c r="A50" s="73"/>
      <c r="B50" s="73"/>
      <c r="C50" s="109"/>
      <c r="D50" s="109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3"/>
      <c r="CS50" s="42"/>
    </row>
    <row r="51" spans="1:97" x14ac:dyDescent="0.25">
      <c r="A51" s="115"/>
      <c r="B51" s="73"/>
      <c r="C51" s="73"/>
      <c r="D51" s="109"/>
      <c r="E51" s="112" t="s">
        <v>337</v>
      </c>
      <c r="F51" s="73"/>
      <c r="G51" s="73"/>
      <c r="H51" s="74"/>
      <c r="I51" s="132" t="s">
        <v>314</v>
      </c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115" t="s">
        <v>570</v>
      </c>
      <c r="CS51" s="42"/>
    </row>
    <row r="52" spans="1:97" x14ac:dyDescent="0.25">
      <c r="A52" s="73"/>
      <c r="B52" s="73"/>
      <c r="C52" s="73"/>
      <c r="D52" s="73"/>
      <c r="E52" s="73"/>
      <c r="F52" s="113" t="s">
        <v>193</v>
      </c>
      <c r="G52" s="113" t="str">
        <f>G$24</f>
        <v>£m</v>
      </c>
      <c r="H52" s="145">
        <f>SUMPRODUCT(J32:CP32, J$24:CP$24)</f>
        <v>901.36609999999996</v>
      </c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74"/>
      <c r="CR52" s="73"/>
      <c r="CS52" s="42"/>
    </row>
    <row r="53" spans="1:97" x14ac:dyDescent="0.25">
      <c r="A53" s="73"/>
      <c r="B53" s="73"/>
      <c r="C53" s="73"/>
      <c r="D53" s="73"/>
      <c r="E53" s="73"/>
      <c r="F53" s="115" t="s">
        <v>194</v>
      </c>
      <c r="G53" s="115" t="str">
        <f>G$24</f>
        <v>£m</v>
      </c>
      <c r="H53" s="130">
        <f>SUMPRODUCT(J33:CP33, J$24:CP$24)</f>
        <v>1641.05115892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74"/>
      <c r="CR53" s="73"/>
      <c r="CS53" s="42"/>
    </row>
    <row r="54" spans="1:97" x14ac:dyDescent="0.25">
      <c r="A54" s="73"/>
      <c r="B54" s="73"/>
      <c r="C54" s="73"/>
      <c r="D54" s="73"/>
      <c r="E54" s="73"/>
      <c r="F54" s="115" t="s">
        <v>41</v>
      </c>
      <c r="G54" s="115" t="str">
        <f>G$24</f>
        <v>£m</v>
      </c>
      <c r="H54" s="130">
        <f>SUMPRODUCT(J34:CP34, J$24:CP$24)</f>
        <v>404.60812999999996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74"/>
      <c r="CR54" s="73"/>
      <c r="CS54" s="42"/>
    </row>
    <row r="55" spans="1:97" x14ac:dyDescent="0.25">
      <c r="A55" s="73"/>
      <c r="B55" s="73"/>
      <c r="C55" s="73"/>
      <c r="D55" s="73"/>
      <c r="E55" s="73"/>
      <c r="F55" s="115" t="s">
        <v>40</v>
      </c>
      <c r="G55" s="115" t="str">
        <f>G$24</f>
        <v>£m</v>
      </c>
      <c r="H55" s="130">
        <f>SUMPRODUCT(J35:CP35, J$24:CP$24)</f>
        <v>1445.7667350000004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  <c r="CQ55" s="74"/>
      <c r="CR55" s="73"/>
      <c r="CS55" s="42"/>
    </row>
    <row r="56" spans="1:97" x14ac:dyDescent="0.25">
      <c r="A56" s="73"/>
      <c r="B56" s="73"/>
      <c r="C56" s="73"/>
      <c r="D56" s="73"/>
      <c r="E56" s="73"/>
      <c r="F56" s="117" t="s">
        <v>166</v>
      </c>
      <c r="G56" s="117" t="str">
        <f>G$24</f>
        <v>£m</v>
      </c>
      <c r="H56" s="146">
        <f>SUMPRODUCT(J36:CP36, J$24:CP$24)</f>
        <v>1236.1848450000002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74"/>
      <c r="CR56" s="73"/>
      <c r="CS56" s="42"/>
    </row>
    <row r="57" spans="1:9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3"/>
      <c r="CS57" s="42"/>
    </row>
    <row r="58" spans="1:97" x14ac:dyDescent="0.25">
      <c r="A58" s="73"/>
      <c r="B58" s="73"/>
      <c r="C58" s="73"/>
      <c r="D58" s="73"/>
      <c r="E58" s="115" t="s">
        <v>276</v>
      </c>
      <c r="F58" s="73"/>
      <c r="G58" s="115" t="str">
        <f>G$24</f>
        <v>£m</v>
      </c>
      <c r="H58" s="130">
        <f>SUM(H52:H56)</f>
        <v>5628.9769689200002</v>
      </c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  <c r="CE58" s="130"/>
      <c r="CF58" s="130"/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  <c r="CQ58" s="74"/>
      <c r="CR58" s="73"/>
      <c r="CS58" s="42"/>
    </row>
    <row r="59" spans="1:97" x14ac:dyDescent="0.25">
      <c r="A59" s="73"/>
      <c r="B59" s="73"/>
      <c r="C59" s="73"/>
      <c r="D59" s="73"/>
      <c r="E59" s="115" t="s">
        <v>514</v>
      </c>
      <c r="F59" s="73"/>
      <c r="G59" s="115" t="s">
        <v>470</v>
      </c>
      <c r="H59" s="130" t="b">
        <f>H52 + H53 &gt; 0</f>
        <v>1</v>
      </c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74"/>
      <c r="CR59" s="73"/>
      <c r="CS59" s="42"/>
    </row>
    <row r="60" spans="1:97" x14ac:dyDescent="0.25">
      <c r="A60" s="73"/>
      <c r="B60" s="73"/>
      <c r="C60" s="73"/>
      <c r="D60" s="73"/>
      <c r="E60" s="115" t="s">
        <v>515</v>
      </c>
      <c r="F60" s="73"/>
      <c r="G60" s="115" t="s">
        <v>470</v>
      </c>
      <c r="H60" s="130" t="b">
        <f>H58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74"/>
      <c r="CR60" s="73"/>
      <c r="CS60" s="42"/>
    </row>
    <row r="61" spans="1:97" s="17" customFormat="1" x14ac:dyDescent="0.25">
      <c r="A61" s="73"/>
      <c r="B61" s="73"/>
      <c r="C61" s="73"/>
      <c r="D61" s="73"/>
      <c r="E61" s="115"/>
      <c r="F61" s="73"/>
      <c r="G61" s="115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74"/>
      <c r="CR61" s="73"/>
      <c r="CS61" s="42"/>
    </row>
    <row r="62" spans="1:97" s="17" customFormat="1" x14ac:dyDescent="0.25">
      <c r="A62" s="73"/>
      <c r="B62" s="73"/>
      <c r="C62" s="73"/>
      <c r="D62" s="73"/>
      <c r="E62" s="228" t="s">
        <v>765</v>
      </c>
      <c r="F62" s="229"/>
      <c r="G62" s="228" t="str">
        <f>G$24</f>
        <v>£m</v>
      </c>
      <c r="H62" s="230">
        <f>H58 - H25</f>
        <v>0</v>
      </c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  <c r="CA62" s="130"/>
      <c r="CB62" s="130"/>
      <c r="CC62" s="130"/>
      <c r="CD62" s="130"/>
      <c r="CE62" s="130"/>
      <c r="CF62" s="130"/>
      <c r="CG62" s="130"/>
      <c r="CH62" s="130"/>
      <c r="CI62" s="130"/>
      <c r="CJ62" s="130"/>
      <c r="CK62" s="130"/>
      <c r="CL62" s="130"/>
      <c r="CM62" s="130"/>
      <c r="CN62" s="130"/>
      <c r="CO62" s="130"/>
      <c r="CP62" s="130"/>
      <c r="CQ62" s="74"/>
      <c r="CR62" s="73"/>
      <c r="CS62" s="42"/>
    </row>
    <row r="63" spans="1:97" x14ac:dyDescent="0.25">
      <c r="A63" s="73"/>
      <c r="B63" s="73"/>
      <c r="C63" s="73"/>
      <c r="D63" s="73"/>
      <c r="E63" s="115" t="s">
        <v>526</v>
      </c>
      <c r="F63" s="73"/>
      <c r="G63" s="115" t="s">
        <v>231</v>
      </c>
      <c r="H63" s="136">
        <f>IF(H62 = 0, 0, 1)</f>
        <v>0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  <c r="CB63" s="136"/>
      <c r="CC63" s="136"/>
      <c r="CD63" s="136"/>
      <c r="CE63" s="136"/>
      <c r="CF63" s="136"/>
      <c r="CG63" s="136"/>
      <c r="CH63" s="136"/>
      <c r="CI63" s="136"/>
      <c r="CJ63" s="136"/>
      <c r="CK63" s="136"/>
      <c r="CL63" s="136"/>
      <c r="CM63" s="136"/>
      <c r="CN63" s="136"/>
      <c r="CO63" s="136"/>
      <c r="CP63" s="136"/>
      <c r="CQ63" s="74"/>
      <c r="CR63" s="73"/>
      <c r="CS63" s="42"/>
    </row>
    <row r="64" spans="1:97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3"/>
      <c r="CS64" s="42"/>
    </row>
    <row r="65" spans="1:97" x14ac:dyDescent="0.25">
      <c r="A65" s="115"/>
      <c r="B65" s="73"/>
      <c r="C65" s="73"/>
      <c r="D65" s="73"/>
      <c r="E65" s="112" t="s">
        <v>338</v>
      </c>
      <c r="F65" s="73"/>
      <c r="G65" s="73"/>
      <c r="H65" s="74"/>
      <c r="I65" s="132" t="s">
        <v>314</v>
      </c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115" t="s">
        <v>570</v>
      </c>
      <c r="CS65" s="42"/>
    </row>
    <row r="66" spans="1:97" x14ac:dyDescent="0.25">
      <c r="A66" s="73"/>
      <c r="B66" s="73"/>
      <c r="C66" s="73"/>
      <c r="D66" s="73"/>
      <c r="E66" s="73"/>
      <c r="F66" s="113" t="s">
        <v>193</v>
      </c>
      <c r="G66" s="113" t="s">
        <v>44</v>
      </c>
      <c r="H66" s="153">
        <f>IF(H$60, H52 / H$58, 0)</f>
        <v>0.16012964788749881</v>
      </c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35"/>
      <c r="CK66" s="135"/>
      <c r="CL66" s="135"/>
      <c r="CM66" s="135"/>
      <c r="CN66" s="135"/>
      <c r="CO66" s="135"/>
      <c r="CP66" s="135"/>
      <c r="CQ66" s="74"/>
      <c r="CR66" s="73"/>
      <c r="CS66" s="42"/>
    </row>
    <row r="67" spans="1:97" x14ac:dyDescent="0.25">
      <c r="A67" s="73"/>
      <c r="B67" s="73"/>
      <c r="C67" s="73"/>
      <c r="D67" s="73"/>
      <c r="E67" s="73"/>
      <c r="F67" s="115" t="s">
        <v>194</v>
      </c>
      <c r="G67" s="115" t="s">
        <v>44</v>
      </c>
      <c r="H67" s="154">
        <f>IF(H$60, H53 / H$58, 0)</f>
        <v>0.29153630721549378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74"/>
      <c r="CR67" s="73"/>
      <c r="CS67" s="42"/>
    </row>
    <row r="68" spans="1:97" x14ac:dyDescent="0.25">
      <c r="A68" s="73"/>
      <c r="B68" s="73"/>
      <c r="C68" s="73"/>
      <c r="D68" s="73"/>
      <c r="E68" s="73"/>
      <c r="F68" s="115" t="s">
        <v>41</v>
      </c>
      <c r="G68" s="115" t="s">
        <v>44</v>
      </c>
      <c r="H68" s="154">
        <f>IF(H$60, H54 / H$58, 0)</f>
        <v>7.1879514205514652E-2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74"/>
      <c r="CR68" s="73"/>
      <c r="CS68" s="42"/>
    </row>
    <row r="69" spans="1:97" x14ac:dyDescent="0.25">
      <c r="A69" s="73"/>
      <c r="B69" s="73"/>
      <c r="C69" s="73"/>
      <c r="D69" s="73"/>
      <c r="E69" s="73"/>
      <c r="F69" s="115" t="s">
        <v>40</v>
      </c>
      <c r="G69" s="115" t="s">
        <v>44</v>
      </c>
      <c r="H69" s="154">
        <f>IF(H$60, H55 / H$58, 0)</f>
        <v>0.25684360461638051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35"/>
      <c r="BX69" s="135"/>
      <c r="BY69" s="135"/>
      <c r="BZ69" s="135"/>
      <c r="CA69" s="135"/>
      <c r="CB69" s="135"/>
      <c r="CC69" s="135"/>
      <c r="CD69" s="135"/>
      <c r="CE69" s="135"/>
      <c r="CF69" s="135"/>
      <c r="CG69" s="135"/>
      <c r="CH69" s="135"/>
      <c r="CI69" s="135"/>
      <c r="CJ69" s="135"/>
      <c r="CK69" s="135"/>
      <c r="CL69" s="135"/>
      <c r="CM69" s="135"/>
      <c r="CN69" s="135"/>
      <c r="CO69" s="135"/>
      <c r="CP69" s="135"/>
      <c r="CQ69" s="74"/>
      <c r="CR69" s="73"/>
      <c r="CS69" s="42"/>
    </row>
    <row r="70" spans="1:97" x14ac:dyDescent="0.25">
      <c r="A70" s="73"/>
      <c r="B70" s="73"/>
      <c r="C70" s="73"/>
      <c r="D70" s="73"/>
      <c r="E70" s="73"/>
      <c r="F70" s="117" t="s">
        <v>166</v>
      </c>
      <c r="G70" s="117" t="s">
        <v>44</v>
      </c>
      <c r="H70" s="155">
        <f>IF(H$60, H56 / H$58, 0)</f>
        <v>0.21961092607511237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  <c r="CE70" s="135"/>
      <c r="CF70" s="135"/>
      <c r="CG70" s="135"/>
      <c r="CH70" s="135"/>
      <c r="CI70" s="135"/>
      <c r="CJ70" s="135"/>
      <c r="CK70" s="135"/>
      <c r="CL70" s="135"/>
      <c r="CM70" s="135"/>
      <c r="CN70" s="135"/>
      <c r="CO70" s="135"/>
      <c r="CP70" s="135"/>
      <c r="CQ70" s="74"/>
      <c r="CR70" s="73"/>
      <c r="CS70" s="42"/>
    </row>
    <row r="71" spans="1:97" x14ac:dyDescent="0.25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3"/>
      <c r="CS71" s="42"/>
    </row>
    <row r="72" spans="1:97" x14ac:dyDescent="0.25">
      <c r="A72" s="73"/>
      <c r="B72" s="73"/>
      <c r="C72" s="73"/>
      <c r="D72" s="73"/>
      <c r="E72" s="115" t="s">
        <v>239</v>
      </c>
      <c r="F72" s="73"/>
      <c r="G72" s="115" t="s">
        <v>231</v>
      </c>
      <c r="H72" s="136">
        <f>IF(SUM(H66:H70)= 1, 0, 1)</f>
        <v>0</v>
      </c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6"/>
      <c r="BR72" s="136"/>
      <c r="BS72" s="136"/>
      <c r="BT72" s="136"/>
      <c r="BU72" s="136"/>
      <c r="BV72" s="136"/>
      <c r="BW72" s="136"/>
      <c r="BX72" s="136"/>
      <c r="BY72" s="136"/>
      <c r="BZ72" s="136"/>
      <c r="CA72" s="136"/>
      <c r="CB72" s="136"/>
      <c r="CC72" s="136"/>
      <c r="CD72" s="136"/>
      <c r="CE72" s="136"/>
      <c r="CF72" s="136"/>
      <c r="CG72" s="136"/>
      <c r="CH72" s="136"/>
      <c r="CI72" s="136"/>
      <c r="CJ72" s="136"/>
      <c r="CK72" s="136"/>
      <c r="CL72" s="136"/>
      <c r="CM72" s="136"/>
      <c r="CN72" s="136"/>
      <c r="CO72" s="136"/>
      <c r="CP72" s="136"/>
      <c r="CQ72" s="74"/>
      <c r="CR72" s="73"/>
      <c r="CS72" s="42"/>
    </row>
    <row r="73" spans="1:97" x14ac:dyDescent="0.25">
      <c r="A73" s="73"/>
      <c r="B73" s="73"/>
      <c r="C73" s="73"/>
      <c r="D73" s="73"/>
      <c r="E73" s="109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3"/>
      <c r="CS73" s="42"/>
    </row>
    <row r="74" spans="1:97" x14ac:dyDescent="0.25">
      <c r="A74" s="115"/>
      <c r="B74" s="73"/>
      <c r="C74" s="73"/>
      <c r="D74" s="73"/>
      <c r="E74" s="112" t="s">
        <v>339</v>
      </c>
      <c r="F74" s="73"/>
      <c r="G74" s="73"/>
      <c r="H74" s="74"/>
      <c r="I74" s="132" t="s">
        <v>314</v>
      </c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115" t="s">
        <v>357</v>
      </c>
      <c r="CS74" s="42"/>
    </row>
    <row r="75" spans="1:97" x14ac:dyDescent="0.25">
      <c r="A75" s="73"/>
      <c r="B75" s="73"/>
      <c r="C75" s="73"/>
      <c r="D75" s="73"/>
      <c r="E75" s="73"/>
      <c r="F75" s="113" t="s">
        <v>240</v>
      </c>
      <c r="G75" s="113" t="s">
        <v>44</v>
      </c>
      <c r="H75" s="153">
        <f>IF(H$59, H66 / (H$66 + H$67), 0)</f>
        <v>0.35453114426342969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35"/>
      <c r="CK75" s="135"/>
      <c r="CL75" s="135"/>
      <c r="CM75" s="135"/>
      <c r="CN75" s="135"/>
      <c r="CO75" s="135"/>
      <c r="CP75" s="135"/>
      <c r="CQ75" s="74"/>
      <c r="CR75" s="73"/>
      <c r="CS75" s="42"/>
    </row>
    <row r="76" spans="1:97" x14ac:dyDescent="0.25">
      <c r="A76" s="73"/>
      <c r="B76" s="73"/>
      <c r="C76" s="73"/>
      <c r="D76" s="73"/>
      <c r="E76" s="73"/>
      <c r="F76" s="117" t="s">
        <v>241</v>
      </c>
      <c r="G76" s="117" t="s">
        <v>44</v>
      </c>
      <c r="H76" s="150">
        <f>IF(H$59, H67 / (H$66 + H$67), 0)</f>
        <v>0.64546885573657042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  <c r="CN76" s="135"/>
      <c r="CO76" s="135"/>
      <c r="CP76" s="135"/>
      <c r="CQ76" s="74"/>
      <c r="CR76" s="73"/>
      <c r="CS76" s="42"/>
    </row>
    <row r="77" spans="1:97" x14ac:dyDescent="0.25">
      <c r="A77" s="73"/>
      <c r="B77" s="73"/>
      <c r="C77" s="73"/>
      <c r="D77" s="73"/>
      <c r="E77" s="73"/>
      <c r="F77" s="73"/>
      <c r="G77" s="73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3"/>
      <c r="CS77" s="42"/>
    </row>
    <row r="78" spans="1:97" x14ac:dyDescent="0.25">
      <c r="A78" s="73"/>
      <c r="B78" s="73"/>
      <c r="C78" s="73"/>
      <c r="D78" s="73"/>
      <c r="E78" s="115" t="s">
        <v>239</v>
      </c>
      <c r="F78" s="73"/>
      <c r="G78" s="115" t="s">
        <v>231</v>
      </c>
      <c r="H78" s="136">
        <f>IF(SUM(H75:H76)= 1, 0, 1)</f>
        <v>0</v>
      </c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6"/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  <c r="CG78" s="136"/>
      <c r="CH78" s="136"/>
      <c r="CI78" s="136"/>
      <c r="CJ78" s="136"/>
      <c r="CK78" s="136"/>
      <c r="CL78" s="136"/>
      <c r="CM78" s="136"/>
      <c r="CN78" s="136"/>
      <c r="CO78" s="136"/>
      <c r="CP78" s="136"/>
      <c r="CQ78" s="74"/>
      <c r="CR78" s="73"/>
      <c r="CS78" s="42"/>
    </row>
    <row r="79" spans="1:97" x14ac:dyDescent="0.25">
      <c r="A79" s="73"/>
      <c r="B79" s="73"/>
      <c r="C79" s="73"/>
      <c r="D79" s="73"/>
      <c r="E79" s="109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3"/>
      <c r="CS79" s="42"/>
    </row>
    <row r="80" spans="1:97" s="17" customFormat="1" x14ac:dyDescent="0.25">
      <c r="A80" s="73"/>
      <c r="B80" s="101"/>
      <c r="C80" s="110" t="s">
        <v>714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  <c r="CO80" s="111"/>
      <c r="CP80" s="111"/>
      <c r="CQ80" s="111"/>
      <c r="CR80" s="110"/>
      <c r="CS80" s="42"/>
    </row>
    <row r="81" spans="1:97" s="17" customFormat="1" x14ac:dyDescent="0.25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3"/>
      <c r="CS81" s="42"/>
    </row>
    <row r="82" spans="1:97" x14ac:dyDescent="0.25">
      <c r="A82" s="115"/>
      <c r="B82" s="73"/>
      <c r="C82" s="73"/>
      <c r="D82" s="73"/>
      <c r="E82" s="112" t="s">
        <v>322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115" t="s">
        <v>605</v>
      </c>
      <c r="CS82" s="42"/>
    </row>
    <row r="83" spans="1:97" x14ac:dyDescent="0.25">
      <c r="A83" s="73"/>
      <c r="B83" s="73"/>
      <c r="C83" s="73"/>
      <c r="D83" s="73"/>
      <c r="E83" s="73"/>
      <c r="F83" s="113" t="s">
        <v>38</v>
      </c>
      <c r="G83" s="113" t="str">
        <f>G$24</f>
        <v>£m</v>
      </c>
      <c r="H83" s="145">
        <f>SUMPRODUCT(J44:CP44, J$24:CP$24)</f>
        <v>260.18324000000001</v>
      </c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130"/>
      <c r="CD83" s="130"/>
      <c r="CE83" s="130"/>
      <c r="CF83" s="130"/>
      <c r="CG83" s="130"/>
      <c r="CH83" s="130"/>
      <c r="CI83" s="130"/>
      <c r="CJ83" s="130"/>
      <c r="CK83" s="130"/>
      <c r="CL83" s="130"/>
      <c r="CM83" s="130"/>
      <c r="CN83" s="130"/>
      <c r="CO83" s="130"/>
      <c r="CP83" s="130"/>
      <c r="CQ83" s="74"/>
      <c r="CR83" s="73"/>
      <c r="CS83" s="42"/>
    </row>
    <row r="84" spans="1:97" x14ac:dyDescent="0.25">
      <c r="A84" s="73"/>
      <c r="B84" s="73"/>
      <c r="C84" s="73"/>
      <c r="D84" s="73"/>
      <c r="E84" s="73"/>
      <c r="F84" s="115" t="s">
        <v>37</v>
      </c>
      <c r="G84" s="115" t="str">
        <f>G$24</f>
        <v>£m</v>
      </c>
      <c r="H84" s="130">
        <f>SUMPRODUCT(J45:CP45, J$24:CP$24)</f>
        <v>397.467872</v>
      </c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0"/>
      <c r="BX84" s="130"/>
      <c r="BY84" s="130"/>
      <c r="BZ84" s="130"/>
      <c r="CA84" s="130"/>
      <c r="CB84" s="130"/>
      <c r="CC84" s="130"/>
      <c r="CD84" s="130"/>
      <c r="CE84" s="130"/>
      <c r="CF84" s="130"/>
      <c r="CG84" s="130"/>
      <c r="CH84" s="130"/>
      <c r="CI84" s="130"/>
      <c r="CJ84" s="130"/>
      <c r="CK84" s="130"/>
      <c r="CL84" s="130"/>
      <c r="CM84" s="130"/>
      <c r="CN84" s="130"/>
      <c r="CO84" s="130"/>
      <c r="CP84" s="130"/>
      <c r="CQ84" s="74"/>
      <c r="CR84" s="73"/>
      <c r="CS84" s="42"/>
    </row>
    <row r="85" spans="1:97" x14ac:dyDescent="0.25">
      <c r="A85" s="73"/>
      <c r="B85" s="73"/>
      <c r="C85" s="73"/>
      <c r="D85" s="73"/>
      <c r="E85" s="73"/>
      <c r="F85" s="115" t="s">
        <v>36</v>
      </c>
      <c r="G85" s="115" t="str">
        <f>G$24</f>
        <v>£m</v>
      </c>
      <c r="H85" s="130">
        <f>SUMPRODUCT(J46:CP46, J$24:CP$24)</f>
        <v>161.94114999999999</v>
      </c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  <c r="BR85" s="130"/>
      <c r="BS85" s="130"/>
      <c r="BT85" s="130"/>
      <c r="BU85" s="130"/>
      <c r="BV85" s="130"/>
      <c r="BW85" s="130"/>
      <c r="BX85" s="130"/>
      <c r="BY85" s="130"/>
      <c r="BZ85" s="130"/>
      <c r="CA85" s="130"/>
      <c r="CB85" s="130"/>
      <c r="CC85" s="130"/>
      <c r="CD85" s="130"/>
      <c r="CE85" s="130"/>
      <c r="CF85" s="130"/>
      <c r="CG85" s="130"/>
      <c r="CH85" s="130"/>
      <c r="CI85" s="130"/>
      <c r="CJ85" s="130"/>
      <c r="CK85" s="130"/>
      <c r="CL85" s="130"/>
      <c r="CM85" s="130"/>
      <c r="CN85" s="130"/>
      <c r="CO85" s="130"/>
      <c r="CP85" s="130"/>
      <c r="CQ85" s="74"/>
      <c r="CR85" s="73"/>
      <c r="CS85" s="42"/>
    </row>
    <row r="86" spans="1:97" x14ac:dyDescent="0.25">
      <c r="A86" s="73"/>
      <c r="B86" s="73"/>
      <c r="C86" s="73"/>
      <c r="D86" s="73"/>
      <c r="E86" s="73"/>
      <c r="F86" s="117" t="s">
        <v>35</v>
      </c>
      <c r="G86" s="117" t="str">
        <f>G$24</f>
        <v>£m</v>
      </c>
      <c r="H86" s="146">
        <f>SUMPRODUCT(J47:CP47, J$24:CP$24)</f>
        <v>523.42207300000007</v>
      </c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0"/>
      <c r="CC86" s="130"/>
      <c r="CD86" s="130"/>
      <c r="CE86" s="130"/>
      <c r="CF86" s="130"/>
      <c r="CG86" s="130"/>
      <c r="CH86" s="130"/>
      <c r="CI86" s="130"/>
      <c r="CJ86" s="130"/>
      <c r="CK86" s="130"/>
      <c r="CL86" s="130"/>
      <c r="CM86" s="130"/>
      <c r="CN86" s="130"/>
      <c r="CO86" s="130"/>
      <c r="CP86" s="130"/>
      <c r="CQ86" s="74"/>
      <c r="CR86" s="73"/>
      <c r="CS86" s="42"/>
    </row>
    <row r="87" spans="1:97" x14ac:dyDescent="0.25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3"/>
      <c r="CS87" s="42"/>
    </row>
    <row r="88" spans="1:97" x14ac:dyDescent="0.25">
      <c r="A88" s="115"/>
      <c r="B88" s="73"/>
      <c r="C88" s="73"/>
      <c r="D88" s="73"/>
      <c r="E88" s="115" t="s">
        <v>278</v>
      </c>
      <c r="F88" s="73"/>
      <c r="G88" s="115" t="str">
        <f>G$24</f>
        <v>£m</v>
      </c>
      <c r="H88" s="130">
        <f>SUM(H83:H86)</f>
        <v>1343.0143350000001</v>
      </c>
      <c r="I88" s="143" t="s">
        <v>314</v>
      </c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  <c r="BR88" s="130"/>
      <c r="BS88" s="130"/>
      <c r="BT88" s="130"/>
      <c r="BU88" s="130"/>
      <c r="BV88" s="130"/>
      <c r="BW88" s="130"/>
      <c r="BX88" s="130"/>
      <c r="BY88" s="130"/>
      <c r="BZ88" s="130"/>
      <c r="CA88" s="130"/>
      <c r="CB88" s="130"/>
      <c r="CC88" s="130"/>
      <c r="CD88" s="130"/>
      <c r="CE88" s="130"/>
      <c r="CF88" s="130"/>
      <c r="CG88" s="130"/>
      <c r="CH88" s="130"/>
      <c r="CI88" s="130"/>
      <c r="CJ88" s="130"/>
      <c r="CK88" s="130"/>
      <c r="CL88" s="130"/>
      <c r="CM88" s="130"/>
      <c r="CN88" s="130"/>
      <c r="CO88" s="130"/>
      <c r="CP88" s="130"/>
      <c r="CQ88" s="74"/>
      <c r="CR88" s="115" t="s">
        <v>605</v>
      </c>
      <c r="CS88" s="42"/>
    </row>
    <row r="89" spans="1:97" x14ac:dyDescent="0.25">
      <c r="A89" s="73"/>
      <c r="B89" s="73"/>
      <c r="C89" s="73"/>
      <c r="D89" s="73"/>
      <c r="E89" s="115" t="s">
        <v>516</v>
      </c>
      <c r="F89" s="73"/>
      <c r="G89" s="115" t="s">
        <v>470</v>
      </c>
      <c r="H89" s="130" t="b">
        <f>H88 &gt; 0</f>
        <v>1</v>
      </c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  <c r="BR89" s="130"/>
      <c r="BS89" s="130"/>
      <c r="BT89" s="130"/>
      <c r="BU89" s="130"/>
      <c r="BV89" s="130"/>
      <c r="BW89" s="130"/>
      <c r="BX89" s="130"/>
      <c r="BY89" s="130"/>
      <c r="BZ89" s="130"/>
      <c r="CA89" s="130"/>
      <c r="CB89" s="130"/>
      <c r="CC89" s="130"/>
      <c r="CD89" s="130"/>
      <c r="CE89" s="130"/>
      <c r="CF89" s="130"/>
      <c r="CG89" s="130"/>
      <c r="CH89" s="130"/>
      <c r="CI89" s="130"/>
      <c r="CJ89" s="130"/>
      <c r="CK89" s="130"/>
      <c r="CL89" s="130"/>
      <c r="CM89" s="130"/>
      <c r="CN89" s="130"/>
      <c r="CO89" s="130"/>
      <c r="CP89" s="130"/>
      <c r="CQ89" s="74"/>
      <c r="CR89" s="73"/>
      <c r="CS89" s="42"/>
    </row>
    <row r="90" spans="1:97" x14ac:dyDescent="0.25">
      <c r="A90" s="73"/>
      <c r="B90" s="73"/>
      <c r="C90" s="73"/>
      <c r="D90" s="73"/>
      <c r="E90" s="109"/>
      <c r="F90" s="73"/>
      <c r="G90" s="73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3"/>
      <c r="CS90" s="42"/>
    </row>
    <row r="91" spans="1:97" x14ac:dyDescent="0.25">
      <c r="A91" s="115"/>
      <c r="B91" s="73"/>
      <c r="C91" s="73"/>
      <c r="D91" s="73"/>
      <c r="E91" s="112" t="s">
        <v>322</v>
      </c>
      <c r="F91" s="73"/>
      <c r="G91" s="73"/>
      <c r="H91" s="74"/>
      <c r="I91" s="132" t="s">
        <v>314</v>
      </c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115" t="s">
        <v>605</v>
      </c>
      <c r="CS91" s="42"/>
    </row>
    <row r="92" spans="1:97" x14ac:dyDescent="0.25">
      <c r="A92" s="73"/>
      <c r="B92" s="73"/>
      <c r="C92" s="73"/>
      <c r="D92" s="73"/>
      <c r="E92" s="73"/>
      <c r="F92" s="113" t="s">
        <v>38</v>
      </c>
      <c r="G92" s="113" t="s">
        <v>44</v>
      </c>
      <c r="H92" s="153">
        <f>IF(H$89, H83 / H$88, 0)</f>
        <v>0.19373079886001365</v>
      </c>
      <c r="I92" s="131" t="s">
        <v>314</v>
      </c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74"/>
      <c r="CR92" s="115" t="s">
        <v>537</v>
      </c>
      <c r="CS92" s="42"/>
    </row>
    <row r="93" spans="1:97" x14ac:dyDescent="0.25">
      <c r="A93" s="73"/>
      <c r="B93" s="73"/>
      <c r="C93" s="73"/>
      <c r="D93" s="73"/>
      <c r="E93" s="73"/>
      <c r="F93" s="115" t="s">
        <v>37</v>
      </c>
      <c r="G93" s="115" t="s">
        <v>44</v>
      </c>
      <c r="H93" s="154">
        <f>IF(H$89, H84 / H$88, 0)</f>
        <v>0.2959520696404182</v>
      </c>
      <c r="I93" s="131" t="s">
        <v>314</v>
      </c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74"/>
      <c r="CR93" s="115" t="s">
        <v>538</v>
      </c>
      <c r="CS93" s="42"/>
    </row>
    <row r="94" spans="1:97" x14ac:dyDescent="0.25">
      <c r="A94" s="73"/>
      <c r="B94" s="73"/>
      <c r="C94" s="73"/>
      <c r="D94" s="73"/>
      <c r="E94" s="73"/>
      <c r="F94" s="115" t="s">
        <v>36</v>
      </c>
      <c r="G94" s="115" t="s">
        <v>44</v>
      </c>
      <c r="H94" s="154">
        <f>IF(H$89, H85 / H$88, 0)</f>
        <v>0.12058035851121424</v>
      </c>
      <c r="I94" s="131" t="s">
        <v>314</v>
      </c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135"/>
      <c r="CM94" s="135"/>
      <c r="CN94" s="135"/>
      <c r="CO94" s="135"/>
      <c r="CP94" s="135"/>
      <c r="CQ94" s="74"/>
      <c r="CR94" s="115" t="s">
        <v>540</v>
      </c>
      <c r="CS94" s="42"/>
    </row>
    <row r="95" spans="1:97" x14ac:dyDescent="0.25">
      <c r="A95" s="73"/>
      <c r="B95" s="73"/>
      <c r="C95" s="73"/>
      <c r="D95" s="73"/>
      <c r="E95" s="73"/>
      <c r="F95" s="117" t="s">
        <v>35</v>
      </c>
      <c r="G95" s="117" t="s">
        <v>44</v>
      </c>
      <c r="H95" s="155">
        <f>IF(H$89, H86 / H$88, 0)</f>
        <v>0.38973677298835385</v>
      </c>
      <c r="I95" s="131" t="s">
        <v>314</v>
      </c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5"/>
      <c r="BR95" s="135"/>
      <c r="BS95" s="135"/>
      <c r="BT95" s="135"/>
      <c r="BU95" s="135"/>
      <c r="BV95" s="135"/>
      <c r="BW95" s="135"/>
      <c r="BX95" s="135"/>
      <c r="BY95" s="135"/>
      <c r="BZ95" s="135"/>
      <c r="CA95" s="135"/>
      <c r="CB95" s="135"/>
      <c r="CC95" s="135"/>
      <c r="CD95" s="135"/>
      <c r="CE95" s="135"/>
      <c r="CF95" s="135"/>
      <c r="CG95" s="135"/>
      <c r="CH95" s="135"/>
      <c r="CI95" s="135"/>
      <c r="CJ95" s="135"/>
      <c r="CK95" s="135"/>
      <c r="CL95" s="135"/>
      <c r="CM95" s="135"/>
      <c r="CN95" s="135"/>
      <c r="CO95" s="135"/>
      <c r="CP95" s="135"/>
      <c r="CQ95" s="74"/>
      <c r="CR95" s="115" t="s">
        <v>539</v>
      </c>
      <c r="CS95" s="42"/>
    </row>
    <row r="96" spans="1:97" x14ac:dyDescent="0.25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101"/>
      <c r="CS96" s="42"/>
    </row>
    <row r="97" spans="1:97" x14ac:dyDescent="0.25">
      <c r="A97" s="73"/>
      <c r="B97" s="73"/>
      <c r="C97" s="73"/>
      <c r="D97" s="73"/>
      <c r="E97" s="115" t="s">
        <v>239</v>
      </c>
      <c r="F97" s="73"/>
      <c r="G97" s="115" t="s">
        <v>231</v>
      </c>
      <c r="H97" s="136">
        <f>IF(SUM(H92:H95) = 1, 0, 1)</f>
        <v>0</v>
      </c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/>
      <c r="BO97" s="136"/>
      <c r="BP97" s="136"/>
      <c r="BQ97" s="136"/>
      <c r="BR97" s="136"/>
      <c r="BS97" s="136"/>
      <c r="BT97" s="136"/>
      <c r="BU97" s="136"/>
      <c r="BV97" s="136"/>
      <c r="BW97" s="136"/>
      <c r="BX97" s="136"/>
      <c r="BY97" s="136"/>
      <c r="BZ97" s="136"/>
      <c r="CA97" s="136"/>
      <c r="CB97" s="136"/>
      <c r="CC97" s="136"/>
      <c r="CD97" s="136"/>
      <c r="CE97" s="136"/>
      <c r="CF97" s="136"/>
      <c r="CG97" s="136"/>
      <c r="CH97" s="136"/>
      <c r="CI97" s="136"/>
      <c r="CJ97" s="136"/>
      <c r="CK97" s="136"/>
      <c r="CL97" s="136"/>
      <c r="CM97" s="136"/>
      <c r="CN97" s="136"/>
      <c r="CO97" s="136"/>
      <c r="CP97" s="136"/>
      <c r="CQ97" s="74"/>
      <c r="CR97" s="73"/>
      <c r="CS97" s="42"/>
    </row>
    <row r="98" spans="1:97" x14ac:dyDescent="0.25">
      <c r="A98" s="73"/>
      <c r="B98" s="73"/>
      <c r="C98" s="73"/>
      <c r="D98" s="73"/>
      <c r="E98" s="109"/>
      <c r="F98" s="73"/>
      <c r="G98" s="73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3"/>
      <c r="CS98" s="42"/>
    </row>
    <row r="99" spans="1:97" x14ac:dyDescent="0.25">
      <c r="A99" s="73"/>
      <c r="B99" s="107" t="s">
        <v>237</v>
      </c>
      <c r="C99" s="107"/>
      <c r="D99" s="107"/>
      <c r="E99" s="107"/>
      <c r="F99" s="107"/>
      <c r="G99" s="107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  <c r="BI99" s="108"/>
      <c r="BJ99" s="108"/>
      <c r="BK99" s="108"/>
      <c r="BL99" s="108"/>
      <c r="BM99" s="108"/>
      <c r="BN99" s="108"/>
      <c r="BO99" s="108"/>
      <c r="BP99" s="108"/>
      <c r="BQ99" s="108"/>
      <c r="BR99" s="108"/>
      <c r="BS99" s="108"/>
      <c r="BT99" s="108"/>
      <c r="BU99" s="108"/>
      <c r="BV99" s="108"/>
      <c r="BW99" s="108"/>
      <c r="BX99" s="108"/>
      <c r="BY99" s="108"/>
      <c r="BZ99" s="108"/>
      <c r="CA99" s="108"/>
      <c r="CB99" s="108"/>
      <c r="CC99" s="108"/>
      <c r="CD99" s="108"/>
      <c r="CE99" s="108"/>
      <c r="CF99" s="108"/>
      <c r="CG99" s="108"/>
      <c r="CH99" s="108"/>
      <c r="CI99" s="108"/>
      <c r="CJ99" s="108"/>
      <c r="CK99" s="108"/>
      <c r="CL99" s="108"/>
      <c r="CM99" s="108"/>
      <c r="CN99" s="108"/>
      <c r="CO99" s="108"/>
      <c r="CP99" s="108"/>
      <c r="CQ99" s="108"/>
      <c r="CR99" s="107"/>
      <c r="CS99" s="42"/>
    </row>
    <row r="100" spans="1:97" x14ac:dyDescent="0.25">
      <c r="A100" s="73"/>
      <c r="B100" s="73"/>
      <c r="C100" s="73"/>
      <c r="D100" s="73"/>
      <c r="E100" s="73"/>
      <c r="F100" s="73"/>
      <c r="G100" s="73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3"/>
      <c r="CS100" s="42"/>
    </row>
    <row r="101" spans="1:97" x14ac:dyDescent="0.25">
      <c r="A101" s="73"/>
      <c r="B101" s="73"/>
      <c r="C101" s="109" t="s">
        <v>396</v>
      </c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3"/>
      <c r="CS101" s="42"/>
    </row>
    <row r="102" spans="1:97" x14ac:dyDescent="0.25">
      <c r="A102" s="73"/>
      <c r="B102" s="73"/>
      <c r="C102" s="109"/>
      <c r="D102" s="109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3"/>
      <c r="CS102" s="42"/>
    </row>
    <row r="103" spans="1:97" x14ac:dyDescent="0.25">
      <c r="A103" s="73"/>
      <c r="B103" s="101"/>
      <c r="C103" s="110" t="s">
        <v>711</v>
      </c>
      <c r="D103" s="110"/>
      <c r="E103" s="110"/>
      <c r="F103" s="110"/>
      <c r="G103" s="110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0"/>
      <c r="CS103" s="42"/>
    </row>
    <row r="104" spans="1:97" x14ac:dyDescent="0.25">
      <c r="A104" s="73"/>
      <c r="B104" s="73"/>
      <c r="C104" s="109"/>
      <c r="D104" s="109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3"/>
      <c r="CS104" s="42"/>
    </row>
    <row r="105" spans="1:97" x14ac:dyDescent="0.25">
      <c r="A105" s="73"/>
      <c r="B105" s="73"/>
      <c r="C105" s="73"/>
      <c r="D105" s="109"/>
      <c r="E105" s="115" t="s">
        <v>233</v>
      </c>
      <c r="F105" s="73"/>
      <c r="G105" s="115" t="str">
        <f>G56</f>
        <v>£m</v>
      </c>
      <c r="H105" s="130">
        <f>H56</f>
        <v>1236.1848450000002</v>
      </c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  <c r="BR105" s="130"/>
      <c r="BS105" s="130"/>
      <c r="BT105" s="130"/>
      <c r="BU105" s="130"/>
      <c r="BV105" s="130"/>
      <c r="BW105" s="130"/>
      <c r="BX105" s="130"/>
      <c r="BY105" s="130"/>
      <c r="BZ105" s="130"/>
      <c r="CA105" s="130"/>
      <c r="CB105" s="130"/>
      <c r="CC105" s="130"/>
      <c r="CD105" s="130"/>
      <c r="CE105" s="130"/>
      <c r="CF105" s="130"/>
      <c r="CG105" s="130"/>
      <c r="CH105" s="130"/>
      <c r="CI105" s="130"/>
      <c r="CJ105" s="130"/>
      <c r="CK105" s="130"/>
      <c r="CL105" s="130"/>
      <c r="CM105" s="130"/>
      <c r="CN105" s="130"/>
      <c r="CO105" s="130"/>
      <c r="CP105" s="130"/>
      <c r="CQ105" s="74"/>
      <c r="CR105" s="73"/>
      <c r="CS105" s="42"/>
    </row>
    <row r="106" spans="1:97" x14ac:dyDescent="0.25">
      <c r="A106" s="73"/>
      <c r="B106" s="73"/>
      <c r="C106" s="73"/>
      <c r="D106" s="73"/>
      <c r="E106" s="109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4"/>
      <c r="CO106" s="74"/>
      <c r="CP106" s="74"/>
      <c r="CQ106" s="74"/>
      <c r="CR106" s="73"/>
      <c r="CS106" s="42"/>
    </row>
    <row r="107" spans="1:97" x14ac:dyDescent="0.25">
      <c r="A107" s="73"/>
      <c r="B107" s="73"/>
      <c r="C107" s="73"/>
      <c r="D107" s="73"/>
      <c r="E107" s="112" t="str">
        <f>'DNO inputs'!E37</f>
        <v>CDCM notional EHV asset values</v>
      </c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/>
      <c r="CP107" s="74"/>
      <c r="CQ107" s="74"/>
      <c r="CR107" s="73"/>
      <c r="CS107" s="42"/>
    </row>
    <row r="108" spans="1:97" x14ac:dyDescent="0.25">
      <c r="A108" s="73"/>
      <c r="B108" s="73"/>
      <c r="C108" s="73"/>
      <c r="D108" s="73"/>
      <c r="E108" s="73"/>
      <c r="F108" s="113" t="str">
        <f>'DNO inputs'!F38</f>
        <v>132kV</v>
      </c>
      <c r="G108" s="113" t="str">
        <f>'DNO inputs'!G38</f>
        <v>£</v>
      </c>
      <c r="H108" s="156">
        <f>'DNO inputs'!H38</f>
        <v>569877172.95318115</v>
      </c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  <c r="BR108" s="130"/>
      <c r="BS108" s="130"/>
      <c r="BT108" s="130"/>
      <c r="BU108" s="130"/>
      <c r="BV108" s="130"/>
      <c r="BW108" s="130"/>
      <c r="BX108" s="130"/>
      <c r="BY108" s="130"/>
      <c r="BZ108" s="130"/>
      <c r="CA108" s="130"/>
      <c r="CB108" s="130"/>
      <c r="CC108" s="130"/>
      <c r="CD108" s="130"/>
      <c r="CE108" s="130"/>
      <c r="CF108" s="130"/>
      <c r="CG108" s="130"/>
      <c r="CH108" s="130"/>
      <c r="CI108" s="130"/>
      <c r="CJ108" s="130"/>
      <c r="CK108" s="130"/>
      <c r="CL108" s="130"/>
      <c r="CM108" s="130"/>
      <c r="CN108" s="130"/>
      <c r="CO108" s="130"/>
      <c r="CP108" s="130"/>
      <c r="CQ108" s="74"/>
      <c r="CR108" s="73"/>
      <c r="CS108" s="42"/>
    </row>
    <row r="109" spans="1:97" x14ac:dyDescent="0.25">
      <c r="A109" s="73"/>
      <c r="B109" s="73"/>
      <c r="C109" s="73"/>
      <c r="D109" s="73"/>
      <c r="E109" s="73"/>
      <c r="F109" s="115" t="str">
        <f>'DNO inputs'!F39</f>
        <v>132kV/EHV</v>
      </c>
      <c r="G109" s="115" t="str">
        <f>'DNO inputs'!G39</f>
        <v>£</v>
      </c>
      <c r="H109" s="152">
        <f>'DNO inputs'!H39</f>
        <v>88757115.820670053</v>
      </c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  <c r="CB109" s="130"/>
      <c r="CC109" s="130"/>
      <c r="CD109" s="130"/>
      <c r="CE109" s="130"/>
      <c r="CF109" s="130"/>
      <c r="CG109" s="130"/>
      <c r="CH109" s="130"/>
      <c r="CI109" s="130"/>
      <c r="CJ109" s="130"/>
      <c r="CK109" s="130"/>
      <c r="CL109" s="130"/>
      <c r="CM109" s="130"/>
      <c r="CN109" s="130"/>
      <c r="CO109" s="130"/>
      <c r="CP109" s="130"/>
      <c r="CQ109" s="74"/>
      <c r="CR109" s="73"/>
      <c r="CS109" s="42"/>
    </row>
    <row r="110" spans="1:97" x14ac:dyDescent="0.25">
      <c r="A110" s="73"/>
      <c r="B110" s="73"/>
      <c r="C110" s="73"/>
      <c r="D110" s="73"/>
      <c r="E110" s="73"/>
      <c r="F110" s="115" t="str">
        <f>'DNO inputs'!F40</f>
        <v>EHV</v>
      </c>
      <c r="G110" s="115" t="str">
        <f>'DNO inputs'!G40</f>
        <v>£</v>
      </c>
      <c r="H110" s="152">
        <f>'DNO inputs'!H40</f>
        <v>211834117.6085425</v>
      </c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74"/>
      <c r="CR110" s="73"/>
      <c r="CS110" s="42"/>
    </row>
    <row r="111" spans="1:97" x14ac:dyDescent="0.25">
      <c r="A111" s="73"/>
      <c r="B111" s="73"/>
      <c r="C111" s="73"/>
      <c r="D111" s="73"/>
      <c r="E111" s="73"/>
      <c r="F111" s="115" t="str">
        <f>'DNO inputs'!F41</f>
        <v>EHV/HV</v>
      </c>
      <c r="G111" s="115" t="str">
        <f>'DNO inputs'!G41</f>
        <v>£</v>
      </c>
      <c r="H111" s="152">
        <f>'DNO inputs'!H41</f>
        <v>239523345.82895854</v>
      </c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  <c r="BR111" s="130"/>
      <c r="BS111" s="130"/>
      <c r="BT111" s="130"/>
      <c r="BU111" s="130"/>
      <c r="BV111" s="130"/>
      <c r="BW111" s="130"/>
      <c r="BX111" s="130"/>
      <c r="BY111" s="130"/>
      <c r="BZ111" s="130"/>
      <c r="CA111" s="130"/>
      <c r="CB111" s="130"/>
      <c r="CC111" s="130"/>
      <c r="CD111" s="130"/>
      <c r="CE111" s="130"/>
      <c r="CF111" s="130"/>
      <c r="CG111" s="130"/>
      <c r="CH111" s="130"/>
      <c r="CI111" s="130"/>
      <c r="CJ111" s="130"/>
      <c r="CK111" s="130"/>
      <c r="CL111" s="130"/>
      <c r="CM111" s="130"/>
      <c r="CN111" s="130"/>
      <c r="CO111" s="130"/>
      <c r="CP111" s="130"/>
      <c r="CQ111" s="74"/>
      <c r="CR111" s="73"/>
      <c r="CS111" s="42"/>
    </row>
    <row r="112" spans="1:97" x14ac:dyDescent="0.25">
      <c r="A112" s="73"/>
      <c r="B112" s="73"/>
      <c r="C112" s="73"/>
      <c r="D112" s="73"/>
      <c r="E112" s="73"/>
      <c r="F112" s="117" t="str">
        <f>'DNO inputs'!F42</f>
        <v>132kV/HV</v>
      </c>
      <c r="G112" s="117" t="str">
        <f>'DNO inputs'!G42</f>
        <v>£</v>
      </c>
      <c r="H112" s="157">
        <f>'DNO inputs'!H42</f>
        <v>0</v>
      </c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  <c r="BR112" s="130"/>
      <c r="BS112" s="130"/>
      <c r="BT112" s="130"/>
      <c r="BU112" s="130"/>
      <c r="BV112" s="130"/>
      <c r="BW112" s="130"/>
      <c r="BX112" s="130"/>
      <c r="BY112" s="130"/>
      <c r="BZ112" s="130"/>
      <c r="CA112" s="130"/>
      <c r="CB112" s="130"/>
      <c r="CC112" s="130"/>
      <c r="CD112" s="130"/>
      <c r="CE112" s="130"/>
      <c r="CF112" s="130"/>
      <c r="CG112" s="130"/>
      <c r="CH112" s="130"/>
      <c r="CI112" s="130"/>
      <c r="CJ112" s="130"/>
      <c r="CK112" s="130"/>
      <c r="CL112" s="130"/>
      <c r="CM112" s="130"/>
      <c r="CN112" s="130"/>
      <c r="CO112" s="130"/>
      <c r="CP112" s="130"/>
      <c r="CQ112" s="74"/>
      <c r="CR112" s="73"/>
      <c r="CS112" s="42"/>
    </row>
    <row r="113" spans="1:97" x14ac:dyDescent="0.25">
      <c r="A113" s="73"/>
      <c r="B113" s="73"/>
      <c r="C113" s="73"/>
      <c r="D113" s="73"/>
      <c r="E113" s="73"/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3"/>
      <c r="CS113" s="42"/>
    </row>
    <row r="114" spans="1:97" x14ac:dyDescent="0.25">
      <c r="A114" s="115"/>
      <c r="B114" s="73"/>
      <c r="C114" s="73"/>
      <c r="D114" s="73"/>
      <c r="E114" s="115" t="s">
        <v>234</v>
      </c>
      <c r="F114" s="73"/>
      <c r="G114" s="115" t="s">
        <v>439</v>
      </c>
      <c r="H114" s="130">
        <f>SUM(H108:H112)</f>
        <v>1109991752.2113521</v>
      </c>
      <c r="I114" s="143" t="s">
        <v>314</v>
      </c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  <c r="BR114" s="130"/>
      <c r="BS114" s="130"/>
      <c r="BT114" s="130"/>
      <c r="BU114" s="130"/>
      <c r="BV114" s="130"/>
      <c r="BW114" s="130"/>
      <c r="BX114" s="130"/>
      <c r="BY114" s="130"/>
      <c r="BZ114" s="130"/>
      <c r="CA114" s="130"/>
      <c r="CB114" s="130"/>
      <c r="CC114" s="130"/>
      <c r="CD114" s="130"/>
      <c r="CE114" s="130"/>
      <c r="CF114" s="130"/>
      <c r="CG114" s="130"/>
      <c r="CH114" s="130"/>
      <c r="CI114" s="130"/>
      <c r="CJ114" s="130"/>
      <c r="CK114" s="130"/>
      <c r="CL114" s="130"/>
      <c r="CM114" s="130"/>
      <c r="CN114" s="130"/>
      <c r="CO114" s="130"/>
      <c r="CP114" s="130"/>
      <c r="CQ114" s="74"/>
      <c r="CR114" s="115" t="s">
        <v>574</v>
      </c>
      <c r="CS114" s="42"/>
    </row>
    <row r="115" spans="1:97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3"/>
      <c r="CS115" s="42"/>
    </row>
    <row r="116" spans="1:97" x14ac:dyDescent="0.25">
      <c r="A116" s="73"/>
      <c r="B116" s="73"/>
      <c r="C116" s="73"/>
      <c r="D116" s="73"/>
      <c r="E116" s="115" t="str">
        <f>'DNO inputs'!E49</f>
        <v>EDCM notional asset value, total</v>
      </c>
      <c r="F116" s="73"/>
      <c r="G116" s="115" t="str">
        <f>'DNO inputs'!G49</f>
        <v>£</v>
      </c>
      <c r="H116" s="152">
        <f>'DNO inputs'!H49</f>
        <v>121824093.34197283</v>
      </c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  <c r="BE116" s="130"/>
      <c r="BF116" s="130"/>
      <c r="BG116" s="130"/>
      <c r="BH116" s="130"/>
      <c r="BI116" s="130"/>
      <c r="BJ116" s="130"/>
      <c r="BK116" s="130"/>
      <c r="BL116" s="130"/>
      <c r="BM116" s="130"/>
      <c r="BN116" s="130"/>
      <c r="BO116" s="130"/>
      <c r="BP116" s="130"/>
      <c r="BQ116" s="130"/>
      <c r="BR116" s="130"/>
      <c r="BS116" s="130"/>
      <c r="BT116" s="130"/>
      <c r="BU116" s="130"/>
      <c r="BV116" s="130"/>
      <c r="BW116" s="130"/>
      <c r="BX116" s="130"/>
      <c r="BY116" s="130"/>
      <c r="BZ116" s="130"/>
      <c r="CA116" s="130"/>
      <c r="CB116" s="130"/>
      <c r="CC116" s="130"/>
      <c r="CD116" s="130"/>
      <c r="CE116" s="130"/>
      <c r="CF116" s="130"/>
      <c r="CG116" s="130"/>
      <c r="CH116" s="130"/>
      <c r="CI116" s="130"/>
      <c r="CJ116" s="130"/>
      <c r="CK116" s="130"/>
      <c r="CL116" s="130"/>
      <c r="CM116" s="130"/>
      <c r="CN116" s="130"/>
      <c r="CO116" s="130"/>
      <c r="CP116" s="130"/>
      <c r="CQ116" s="74"/>
      <c r="CR116" s="73"/>
      <c r="CS116" s="42"/>
    </row>
    <row r="117" spans="1:97" x14ac:dyDescent="0.25">
      <c r="A117" s="73"/>
      <c r="B117" s="73"/>
      <c r="C117" s="73"/>
      <c r="D117" s="73"/>
      <c r="E117" s="109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3"/>
      <c r="CS117" s="42"/>
    </row>
    <row r="118" spans="1:97" x14ac:dyDescent="0.25">
      <c r="A118" s="73"/>
      <c r="B118" s="73"/>
      <c r="C118" s="73"/>
      <c r="D118" s="73"/>
      <c r="E118" s="115" t="s">
        <v>517</v>
      </c>
      <c r="F118" s="73"/>
      <c r="G118" s="115" t="s">
        <v>470</v>
      </c>
      <c r="H118" s="130" t="b">
        <f>H114 + H116 &gt; 0</f>
        <v>1</v>
      </c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  <c r="AH118" s="130"/>
      <c r="AI118" s="130"/>
      <c r="AJ118" s="130"/>
      <c r="AK118" s="130"/>
      <c r="AL118" s="130"/>
      <c r="AM118" s="130"/>
      <c r="AN118" s="130"/>
      <c r="AO118" s="130"/>
      <c r="AP118" s="130"/>
      <c r="AQ118" s="130"/>
      <c r="AR118" s="130"/>
      <c r="AS118" s="130"/>
      <c r="AT118" s="130"/>
      <c r="AU118" s="130"/>
      <c r="AV118" s="130"/>
      <c r="AW118" s="130"/>
      <c r="AX118" s="130"/>
      <c r="AY118" s="130"/>
      <c r="AZ118" s="130"/>
      <c r="BA118" s="130"/>
      <c r="BB118" s="130"/>
      <c r="BC118" s="130"/>
      <c r="BD118" s="130"/>
      <c r="BE118" s="130"/>
      <c r="BF118" s="130"/>
      <c r="BG118" s="130"/>
      <c r="BH118" s="130"/>
      <c r="BI118" s="130"/>
      <c r="BJ118" s="130"/>
      <c r="BK118" s="130"/>
      <c r="BL118" s="130"/>
      <c r="BM118" s="130"/>
      <c r="BN118" s="130"/>
      <c r="BO118" s="130"/>
      <c r="BP118" s="130"/>
      <c r="BQ118" s="130"/>
      <c r="BR118" s="130"/>
      <c r="BS118" s="130"/>
      <c r="BT118" s="130"/>
      <c r="BU118" s="130"/>
      <c r="BV118" s="130"/>
      <c r="BW118" s="130"/>
      <c r="BX118" s="130"/>
      <c r="BY118" s="130"/>
      <c r="BZ118" s="130"/>
      <c r="CA118" s="130"/>
      <c r="CB118" s="130"/>
      <c r="CC118" s="130"/>
      <c r="CD118" s="130"/>
      <c r="CE118" s="130"/>
      <c r="CF118" s="130"/>
      <c r="CG118" s="130"/>
      <c r="CH118" s="130"/>
      <c r="CI118" s="130"/>
      <c r="CJ118" s="130"/>
      <c r="CK118" s="130"/>
      <c r="CL118" s="130"/>
      <c r="CM118" s="130"/>
      <c r="CN118" s="130"/>
      <c r="CO118" s="130"/>
      <c r="CP118" s="130"/>
      <c r="CQ118" s="74"/>
      <c r="CR118" s="73"/>
      <c r="CS118" s="42"/>
    </row>
    <row r="119" spans="1:9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3"/>
      <c r="CS119" s="42"/>
    </row>
    <row r="120" spans="1:97" x14ac:dyDescent="0.25">
      <c r="A120" s="115"/>
      <c r="B120" s="73"/>
      <c r="C120" s="73"/>
      <c r="D120" s="73"/>
      <c r="E120" s="115" t="s">
        <v>235</v>
      </c>
      <c r="F120" s="73"/>
      <c r="G120" s="115" t="s">
        <v>44</v>
      </c>
      <c r="H120" s="154">
        <f>IF(H118, H114 / (H114 + H116), 1)</f>
        <v>0.90110202447732757</v>
      </c>
      <c r="I120" s="131" t="s">
        <v>314</v>
      </c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135"/>
      <c r="AV120" s="135"/>
      <c r="AW120" s="135"/>
      <c r="AX120" s="135"/>
      <c r="AY120" s="135"/>
      <c r="AZ120" s="135"/>
      <c r="BA120" s="135"/>
      <c r="BB120" s="135"/>
      <c r="BC120" s="135"/>
      <c r="BD120" s="135"/>
      <c r="BE120" s="135"/>
      <c r="BF120" s="135"/>
      <c r="BG120" s="135"/>
      <c r="BH120" s="135"/>
      <c r="BI120" s="135"/>
      <c r="BJ120" s="135"/>
      <c r="BK120" s="135"/>
      <c r="BL120" s="135"/>
      <c r="BM120" s="135"/>
      <c r="BN120" s="135"/>
      <c r="BO120" s="135"/>
      <c r="BP120" s="135"/>
      <c r="BQ120" s="135"/>
      <c r="BR120" s="135"/>
      <c r="BS120" s="135"/>
      <c r="BT120" s="135"/>
      <c r="BU120" s="135"/>
      <c r="BV120" s="135"/>
      <c r="BW120" s="135"/>
      <c r="BX120" s="135"/>
      <c r="BY120" s="135"/>
      <c r="BZ120" s="135"/>
      <c r="CA120" s="135"/>
      <c r="CB120" s="135"/>
      <c r="CC120" s="135"/>
      <c r="CD120" s="135"/>
      <c r="CE120" s="135"/>
      <c r="CF120" s="135"/>
      <c r="CG120" s="135"/>
      <c r="CH120" s="135"/>
      <c r="CI120" s="135"/>
      <c r="CJ120" s="135"/>
      <c r="CK120" s="135"/>
      <c r="CL120" s="135"/>
      <c r="CM120" s="135"/>
      <c r="CN120" s="135"/>
      <c r="CO120" s="135"/>
      <c r="CP120" s="135"/>
      <c r="CQ120" s="74"/>
      <c r="CR120" s="115" t="s">
        <v>574</v>
      </c>
      <c r="CS120" s="42"/>
    </row>
    <row r="121" spans="1:97" x14ac:dyDescent="0.25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3"/>
      <c r="CS121" s="42"/>
    </row>
    <row r="122" spans="1:97" x14ac:dyDescent="0.25">
      <c r="A122" s="73"/>
      <c r="B122" s="101"/>
      <c r="C122" s="110" t="s">
        <v>712</v>
      </c>
      <c r="D122" s="110"/>
      <c r="E122" s="110"/>
      <c r="F122" s="110"/>
      <c r="G122" s="110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0"/>
      <c r="CS122" s="42"/>
    </row>
    <row r="123" spans="1:97" x14ac:dyDescent="0.25">
      <c r="A123" s="73"/>
      <c r="B123" s="73"/>
      <c r="C123" s="109"/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3"/>
      <c r="CS123" s="42"/>
    </row>
    <row r="124" spans="1:97" x14ac:dyDescent="0.25">
      <c r="A124" s="115"/>
      <c r="B124" s="73"/>
      <c r="C124" s="73"/>
      <c r="D124" s="73"/>
      <c r="E124" s="115" t="s">
        <v>236</v>
      </c>
      <c r="F124" s="73"/>
      <c r="G124" s="115" t="str">
        <f>G114</f>
        <v>£</v>
      </c>
      <c r="H124" s="130">
        <f>H105 * H120</f>
        <v>1113.9286664576916</v>
      </c>
      <c r="I124" s="143" t="s">
        <v>314</v>
      </c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0"/>
      <c r="AO124" s="130"/>
      <c r="AP124" s="130"/>
      <c r="AQ124" s="130"/>
      <c r="AR124" s="130"/>
      <c r="AS124" s="130"/>
      <c r="AT124" s="130"/>
      <c r="AU124" s="130"/>
      <c r="AV124" s="130"/>
      <c r="AW124" s="130"/>
      <c r="AX124" s="130"/>
      <c r="AY124" s="130"/>
      <c r="AZ124" s="130"/>
      <c r="BA124" s="130"/>
      <c r="BB124" s="130"/>
      <c r="BC124" s="130"/>
      <c r="BD124" s="130"/>
      <c r="BE124" s="130"/>
      <c r="BF124" s="130"/>
      <c r="BG124" s="130"/>
      <c r="BH124" s="130"/>
      <c r="BI124" s="130"/>
      <c r="BJ124" s="130"/>
      <c r="BK124" s="130"/>
      <c r="BL124" s="130"/>
      <c r="BM124" s="130"/>
      <c r="BN124" s="130"/>
      <c r="BO124" s="130"/>
      <c r="BP124" s="130"/>
      <c r="BQ124" s="130"/>
      <c r="BR124" s="130"/>
      <c r="BS124" s="130"/>
      <c r="BT124" s="130"/>
      <c r="BU124" s="130"/>
      <c r="BV124" s="130"/>
      <c r="BW124" s="130"/>
      <c r="BX124" s="130"/>
      <c r="BY124" s="130"/>
      <c r="BZ124" s="130"/>
      <c r="CA124" s="130"/>
      <c r="CB124" s="130"/>
      <c r="CC124" s="130"/>
      <c r="CD124" s="130"/>
      <c r="CE124" s="130"/>
      <c r="CF124" s="130"/>
      <c r="CG124" s="130"/>
      <c r="CH124" s="130"/>
      <c r="CI124" s="130"/>
      <c r="CJ124" s="130"/>
      <c r="CK124" s="130"/>
      <c r="CL124" s="130"/>
      <c r="CM124" s="130"/>
      <c r="CN124" s="130"/>
      <c r="CO124" s="130"/>
      <c r="CP124" s="130"/>
      <c r="CQ124" s="74"/>
      <c r="CR124" s="115" t="s">
        <v>574</v>
      </c>
      <c r="CS124" s="42"/>
    </row>
    <row r="125" spans="1:97" x14ac:dyDescent="0.25">
      <c r="A125" s="73"/>
      <c r="B125" s="73"/>
      <c r="C125" s="73"/>
      <c r="D125" s="73"/>
      <c r="E125" s="109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74"/>
      <c r="CN125" s="74"/>
      <c r="CO125" s="74"/>
      <c r="CP125" s="74"/>
      <c r="CQ125" s="74"/>
      <c r="CR125" s="73"/>
      <c r="CS125" s="42"/>
    </row>
    <row r="126" spans="1:97" x14ac:dyDescent="0.25">
      <c r="A126" s="115"/>
      <c r="B126" s="73"/>
      <c r="C126" s="73"/>
      <c r="D126" s="109"/>
      <c r="E126" s="112" t="s">
        <v>362</v>
      </c>
      <c r="F126" s="73"/>
      <c r="G126" s="73"/>
      <c r="H126" s="74"/>
      <c r="I126" s="132" t="s">
        <v>314</v>
      </c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/>
      <c r="CI126" s="74"/>
      <c r="CJ126" s="74"/>
      <c r="CK126" s="74"/>
      <c r="CL126" s="74"/>
      <c r="CM126" s="74"/>
      <c r="CN126" s="74"/>
      <c r="CO126" s="74"/>
      <c r="CP126" s="74"/>
      <c r="CQ126" s="74"/>
      <c r="CR126" s="115" t="s">
        <v>570</v>
      </c>
      <c r="CS126" s="42"/>
    </row>
    <row r="127" spans="1:97" x14ac:dyDescent="0.25">
      <c r="A127" s="73"/>
      <c r="B127" s="73"/>
      <c r="C127" s="73"/>
      <c r="D127" s="73"/>
      <c r="E127" s="73"/>
      <c r="F127" s="113" t="s">
        <v>193</v>
      </c>
      <c r="G127" s="113" t="str">
        <f t="shared" ref="G127:G133" si="14">G$24</f>
        <v>£m</v>
      </c>
      <c r="H127" s="145">
        <f>H52</f>
        <v>901.36609999999996</v>
      </c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  <c r="BC127" s="130"/>
      <c r="BD127" s="130"/>
      <c r="BE127" s="130"/>
      <c r="BF127" s="130"/>
      <c r="BG127" s="130"/>
      <c r="BH127" s="130"/>
      <c r="BI127" s="130"/>
      <c r="BJ127" s="130"/>
      <c r="BK127" s="130"/>
      <c r="BL127" s="130"/>
      <c r="BM127" s="130"/>
      <c r="BN127" s="130"/>
      <c r="BO127" s="130"/>
      <c r="BP127" s="130"/>
      <c r="BQ127" s="130"/>
      <c r="BR127" s="130"/>
      <c r="BS127" s="130"/>
      <c r="BT127" s="130"/>
      <c r="BU127" s="130"/>
      <c r="BV127" s="130"/>
      <c r="BW127" s="130"/>
      <c r="BX127" s="130"/>
      <c r="BY127" s="130"/>
      <c r="BZ127" s="130"/>
      <c r="CA127" s="130"/>
      <c r="CB127" s="130"/>
      <c r="CC127" s="130"/>
      <c r="CD127" s="130"/>
      <c r="CE127" s="130"/>
      <c r="CF127" s="130"/>
      <c r="CG127" s="130"/>
      <c r="CH127" s="130"/>
      <c r="CI127" s="130"/>
      <c r="CJ127" s="130"/>
      <c r="CK127" s="130"/>
      <c r="CL127" s="130"/>
      <c r="CM127" s="130"/>
      <c r="CN127" s="130"/>
      <c r="CO127" s="130"/>
      <c r="CP127" s="130"/>
      <c r="CQ127" s="74"/>
      <c r="CR127" s="73"/>
      <c r="CS127" s="42"/>
    </row>
    <row r="128" spans="1:97" x14ac:dyDescent="0.25">
      <c r="A128" s="73"/>
      <c r="B128" s="73"/>
      <c r="C128" s="73"/>
      <c r="D128" s="73"/>
      <c r="E128" s="73"/>
      <c r="F128" s="115" t="s">
        <v>194</v>
      </c>
      <c r="G128" s="115" t="str">
        <f t="shared" si="14"/>
        <v>£m</v>
      </c>
      <c r="H128" s="130">
        <f>H53</f>
        <v>1641.05115892</v>
      </c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  <c r="BQ128" s="130"/>
      <c r="BR128" s="130"/>
      <c r="BS128" s="130"/>
      <c r="BT128" s="130"/>
      <c r="BU128" s="130"/>
      <c r="BV128" s="130"/>
      <c r="BW128" s="130"/>
      <c r="BX128" s="130"/>
      <c r="BY128" s="130"/>
      <c r="BZ128" s="130"/>
      <c r="CA128" s="130"/>
      <c r="CB128" s="130"/>
      <c r="CC128" s="130"/>
      <c r="CD128" s="130"/>
      <c r="CE128" s="130"/>
      <c r="CF128" s="130"/>
      <c r="CG128" s="130"/>
      <c r="CH128" s="130"/>
      <c r="CI128" s="130"/>
      <c r="CJ128" s="130"/>
      <c r="CK128" s="130"/>
      <c r="CL128" s="130"/>
      <c r="CM128" s="130"/>
      <c r="CN128" s="130"/>
      <c r="CO128" s="130"/>
      <c r="CP128" s="130"/>
      <c r="CQ128" s="74"/>
      <c r="CR128" s="73"/>
      <c r="CS128" s="42"/>
    </row>
    <row r="129" spans="1:97" x14ac:dyDescent="0.25">
      <c r="A129" s="73"/>
      <c r="B129" s="73"/>
      <c r="C129" s="73"/>
      <c r="D129" s="73"/>
      <c r="E129" s="73"/>
      <c r="F129" s="115" t="s">
        <v>41</v>
      </c>
      <c r="G129" s="115" t="str">
        <f t="shared" si="14"/>
        <v>£m</v>
      </c>
      <c r="H129" s="130">
        <f>H54</f>
        <v>404.60812999999996</v>
      </c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  <c r="BQ129" s="130"/>
      <c r="BR129" s="130"/>
      <c r="BS129" s="130"/>
      <c r="BT129" s="130"/>
      <c r="BU129" s="130"/>
      <c r="BV129" s="130"/>
      <c r="BW129" s="130"/>
      <c r="BX129" s="130"/>
      <c r="BY129" s="130"/>
      <c r="BZ129" s="130"/>
      <c r="CA129" s="130"/>
      <c r="CB129" s="130"/>
      <c r="CC129" s="130"/>
      <c r="CD129" s="130"/>
      <c r="CE129" s="130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74"/>
      <c r="CR129" s="73"/>
      <c r="CS129" s="42"/>
    </row>
    <row r="130" spans="1:97" x14ac:dyDescent="0.25">
      <c r="A130" s="73"/>
      <c r="B130" s="73"/>
      <c r="C130" s="73"/>
      <c r="D130" s="73"/>
      <c r="E130" s="73"/>
      <c r="F130" s="115" t="s">
        <v>40</v>
      </c>
      <c r="G130" s="115" t="str">
        <f t="shared" si="14"/>
        <v>£m</v>
      </c>
      <c r="H130" s="130">
        <f>H55</f>
        <v>1445.7667350000004</v>
      </c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  <c r="AH130" s="130"/>
      <c r="AI130" s="130"/>
      <c r="AJ130" s="130"/>
      <c r="AK130" s="130"/>
      <c r="AL130" s="130"/>
      <c r="AM130" s="130"/>
      <c r="AN130" s="130"/>
      <c r="AO130" s="130"/>
      <c r="AP130" s="130"/>
      <c r="AQ130" s="130"/>
      <c r="AR130" s="130"/>
      <c r="AS130" s="130"/>
      <c r="AT130" s="130"/>
      <c r="AU130" s="130"/>
      <c r="AV130" s="130"/>
      <c r="AW130" s="130"/>
      <c r="AX130" s="130"/>
      <c r="AY130" s="130"/>
      <c r="AZ130" s="130"/>
      <c r="BA130" s="130"/>
      <c r="BB130" s="130"/>
      <c r="BC130" s="130"/>
      <c r="BD130" s="130"/>
      <c r="BE130" s="130"/>
      <c r="BF130" s="130"/>
      <c r="BG130" s="130"/>
      <c r="BH130" s="130"/>
      <c r="BI130" s="130"/>
      <c r="BJ130" s="130"/>
      <c r="BK130" s="130"/>
      <c r="BL130" s="130"/>
      <c r="BM130" s="130"/>
      <c r="BN130" s="130"/>
      <c r="BO130" s="130"/>
      <c r="BP130" s="130"/>
      <c r="BQ130" s="130"/>
      <c r="BR130" s="130"/>
      <c r="BS130" s="130"/>
      <c r="BT130" s="130"/>
      <c r="BU130" s="130"/>
      <c r="BV130" s="130"/>
      <c r="BW130" s="130"/>
      <c r="BX130" s="130"/>
      <c r="BY130" s="130"/>
      <c r="BZ130" s="130"/>
      <c r="CA130" s="130"/>
      <c r="CB130" s="130"/>
      <c r="CC130" s="130"/>
      <c r="CD130" s="130"/>
      <c r="CE130" s="130"/>
      <c r="CF130" s="130"/>
      <c r="CG130" s="130"/>
      <c r="CH130" s="130"/>
      <c r="CI130" s="130"/>
      <c r="CJ130" s="130"/>
      <c r="CK130" s="130"/>
      <c r="CL130" s="130"/>
      <c r="CM130" s="130"/>
      <c r="CN130" s="130"/>
      <c r="CO130" s="130"/>
      <c r="CP130" s="130"/>
      <c r="CQ130" s="74"/>
      <c r="CR130" s="73"/>
      <c r="CS130" s="42"/>
    </row>
    <row r="131" spans="1:97" x14ac:dyDescent="0.25">
      <c r="A131" s="115"/>
      <c r="B131" s="73"/>
      <c r="C131" s="73"/>
      <c r="D131" s="73"/>
      <c r="E131" s="73"/>
      <c r="F131" s="117" t="s">
        <v>166</v>
      </c>
      <c r="G131" s="117" t="str">
        <f t="shared" si="14"/>
        <v>£m</v>
      </c>
      <c r="H131" s="158">
        <f>H124</f>
        <v>1113.9286664576916</v>
      </c>
      <c r="I131" s="143" t="s">
        <v>314</v>
      </c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0"/>
      <c r="AY131" s="130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74"/>
      <c r="CR131" s="115" t="s">
        <v>574</v>
      </c>
      <c r="CS131" s="42"/>
    </row>
    <row r="132" spans="1:97" x14ac:dyDescent="0.25">
      <c r="A132" s="73"/>
      <c r="B132" s="73"/>
      <c r="C132" s="73"/>
      <c r="D132" s="73"/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/>
      <c r="CP132" s="74"/>
      <c r="CQ132" s="74"/>
      <c r="CR132" s="73"/>
      <c r="CS132" s="42"/>
    </row>
    <row r="133" spans="1:97" x14ac:dyDescent="0.25">
      <c r="A133" s="115"/>
      <c r="B133" s="73"/>
      <c r="C133" s="73"/>
      <c r="D133" s="73"/>
      <c r="E133" s="115" t="s">
        <v>238</v>
      </c>
      <c r="F133" s="73"/>
      <c r="G133" s="115" t="str">
        <f t="shared" si="14"/>
        <v>£m</v>
      </c>
      <c r="H133" s="130">
        <f>SUM(H127:H131)</f>
        <v>5506.7207903776925</v>
      </c>
      <c r="I133" s="143" t="s">
        <v>314</v>
      </c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0"/>
      <c r="AP133" s="130"/>
      <c r="AQ133" s="130"/>
      <c r="AR133" s="130"/>
      <c r="AS133" s="130"/>
      <c r="AT133" s="130"/>
      <c r="AU133" s="130"/>
      <c r="AV133" s="130"/>
      <c r="AW133" s="130"/>
      <c r="AX133" s="130"/>
      <c r="AY133" s="130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0"/>
      <c r="BJ133" s="130"/>
      <c r="BK133" s="130"/>
      <c r="BL133" s="130"/>
      <c r="BM133" s="130"/>
      <c r="BN133" s="130"/>
      <c r="BO133" s="130"/>
      <c r="BP133" s="130"/>
      <c r="BQ133" s="130"/>
      <c r="BR133" s="130"/>
      <c r="BS133" s="130"/>
      <c r="BT133" s="130"/>
      <c r="BU133" s="130"/>
      <c r="BV133" s="130"/>
      <c r="BW133" s="130"/>
      <c r="BX133" s="130"/>
      <c r="BY133" s="130"/>
      <c r="BZ133" s="130"/>
      <c r="CA133" s="130"/>
      <c r="CB133" s="130"/>
      <c r="CC133" s="130"/>
      <c r="CD133" s="130"/>
      <c r="CE133" s="130"/>
      <c r="CF133" s="130"/>
      <c r="CG133" s="130"/>
      <c r="CH133" s="130"/>
      <c r="CI133" s="130"/>
      <c r="CJ133" s="130"/>
      <c r="CK133" s="130"/>
      <c r="CL133" s="130"/>
      <c r="CM133" s="130"/>
      <c r="CN133" s="130"/>
      <c r="CO133" s="130"/>
      <c r="CP133" s="130"/>
      <c r="CQ133" s="74"/>
      <c r="CR133" s="115" t="s">
        <v>570</v>
      </c>
      <c r="CS133" s="42"/>
    </row>
    <row r="134" spans="1:97" x14ac:dyDescent="0.25">
      <c r="A134" s="73"/>
      <c r="B134" s="73"/>
      <c r="C134" s="73"/>
      <c r="D134" s="73"/>
      <c r="E134" s="115" t="s">
        <v>518</v>
      </c>
      <c r="F134" s="73"/>
      <c r="G134" s="115" t="s">
        <v>470</v>
      </c>
      <c r="H134" s="130" t="b">
        <f>H133 &gt; 0</f>
        <v>1</v>
      </c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  <c r="AG134" s="130"/>
      <c r="AH134" s="130"/>
      <c r="AI134" s="130"/>
      <c r="AJ134" s="130"/>
      <c r="AK134" s="130"/>
      <c r="AL134" s="130"/>
      <c r="AM134" s="130"/>
      <c r="AN134" s="130"/>
      <c r="AO134" s="130"/>
      <c r="AP134" s="130"/>
      <c r="AQ134" s="130"/>
      <c r="AR134" s="130"/>
      <c r="AS134" s="130"/>
      <c r="AT134" s="130"/>
      <c r="AU134" s="130"/>
      <c r="AV134" s="130"/>
      <c r="AW134" s="130"/>
      <c r="AX134" s="130"/>
      <c r="AY134" s="130"/>
      <c r="AZ134" s="130"/>
      <c r="BA134" s="130"/>
      <c r="BB134" s="130"/>
      <c r="BC134" s="130"/>
      <c r="BD134" s="130"/>
      <c r="BE134" s="130"/>
      <c r="BF134" s="130"/>
      <c r="BG134" s="130"/>
      <c r="BH134" s="130"/>
      <c r="BI134" s="130"/>
      <c r="BJ134" s="130"/>
      <c r="BK134" s="130"/>
      <c r="BL134" s="130"/>
      <c r="BM134" s="130"/>
      <c r="BN134" s="130"/>
      <c r="BO134" s="130"/>
      <c r="BP134" s="130"/>
      <c r="BQ134" s="130"/>
      <c r="BR134" s="130"/>
      <c r="BS134" s="130"/>
      <c r="BT134" s="130"/>
      <c r="BU134" s="130"/>
      <c r="BV134" s="130"/>
      <c r="BW134" s="130"/>
      <c r="BX134" s="130"/>
      <c r="BY134" s="130"/>
      <c r="BZ134" s="130"/>
      <c r="CA134" s="130"/>
      <c r="CB134" s="130"/>
      <c r="CC134" s="130"/>
      <c r="CD134" s="130"/>
      <c r="CE134" s="130"/>
      <c r="CF134" s="130"/>
      <c r="CG134" s="130"/>
      <c r="CH134" s="130"/>
      <c r="CI134" s="130"/>
      <c r="CJ134" s="130"/>
      <c r="CK134" s="130"/>
      <c r="CL134" s="130"/>
      <c r="CM134" s="130"/>
      <c r="CN134" s="130"/>
      <c r="CO134" s="130"/>
      <c r="CP134" s="130"/>
      <c r="CQ134" s="74"/>
      <c r="CR134" s="73"/>
      <c r="CS134" s="42"/>
    </row>
    <row r="135" spans="1:97" x14ac:dyDescent="0.25">
      <c r="A135" s="73"/>
      <c r="B135" s="73"/>
      <c r="C135" s="73"/>
      <c r="D135" s="73"/>
      <c r="E135" s="109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4"/>
      <c r="CO135" s="74"/>
      <c r="CP135" s="74"/>
      <c r="CQ135" s="74"/>
      <c r="CR135" s="73"/>
      <c r="CS135" s="42"/>
    </row>
    <row r="136" spans="1:97" x14ac:dyDescent="0.25">
      <c r="A136" s="115"/>
      <c r="B136" s="73"/>
      <c r="C136" s="73"/>
      <c r="D136" s="73"/>
      <c r="E136" s="112" t="s">
        <v>363</v>
      </c>
      <c r="F136" s="73"/>
      <c r="G136" s="73"/>
      <c r="H136" s="74"/>
      <c r="I136" s="132" t="s">
        <v>314</v>
      </c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  <c r="CO136" s="74"/>
      <c r="CP136" s="74"/>
      <c r="CQ136" s="74"/>
      <c r="CR136" s="115" t="s">
        <v>570</v>
      </c>
      <c r="CS136" s="42"/>
    </row>
    <row r="137" spans="1:97" x14ac:dyDescent="0.25">
      <c r="A137" s="73"/>
      <c r="B137" s="73"/>
      <c r="C137" s="73"/>
      <c r="D137" s="73"/>
      <c r="E137" s="73"/>
      <c r="F137" s="113" t="s">
        <v>193</v>
      </c>
      <c r="G137" s="113" t="s">
        <v>44</v>
      </c>
      <c r="H137" s="153">
        <f>IF(H$134, H127 / H$133, 0)</f>
        <v>0.16368472895430339</v>
      </c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5"/>
      <c r="AO137" s="135"/>
      <c r="AP137" s="135"/>
      <c r="AQ137" s="135"/>
      <c r="AR137" s="135"/>
      <c r="AS137" s="135"/>
      <c r="AT137" s="135"/>
      <c r="AU137" s="135"/>
      <c r="AV137" s="135"/>
      <c r="AW137" s="135"/>
      <c r="AX137" s="135"/>
      <c r="AY137" s="135"/>
      <c r="AZ137" s="135"/>
      <c r="BA137" s="135"/>
      <c r="BB137" s="135"/>
      <c r="BC137" s="135"/>
      <c r="BD137" s="135"/>
      <c r="BE137" s="135"/>
      <c r="BF137" s="135"/>
      <c r="BG137" s="135"/>
      <c r="BH137" s="135"/>
      <c r="BI137" s="135"/>
      <c r="BJ137" s="135"/>
      <c r="BK137" s="135"/>
      <c r="BL137" s="135"/>
      <c r="BM137" s="135"/>
      <c r="BN137" s="135"/>
      <c r="BO137" s="135"/>
      <c r="BP137" s="135"/>
      <c r="BQ137" s="135"/>
      <c r="BR137" s="135"/>
      <c r="BS137" s="135"/>
      <c r="BT137" s="135"/>
      <c r="BU137" s="135"/>
      <c r="BV137" s="135"/>
      <c r="BW137" s="135"/>
      <c r="BX137" s="135"/>
      <c r="BY137" s="135"/>
      <c r="BZ137" s="135"/>
      <c r="CA137" s="135"/>
      <c r="CB137" s="135"/>
      <c r="CC137" s="135"/>
      <c r="CD137" s="135"/>
      <c r="CE137" s="135"/>
      <c r="CF137" s="135"/>
      <c r="CG137" s="135"/>
      <c r="CH137" s="135"/>
      <c r="CI137" s="135"/>
      <c r="CJ137" s="135"/>
      <c r="CK137" s="135"/>
      <c r="CL137" s="135"/>
      <c r="CM137" s="135"/>
      <c r="CN137" s="135"/>
      <c r="CO137" s="135"/>
      <c r="CP137" s="135"/>
      <c r="CQ137" s="74"/>
      <c r="CR137" s="73"/>
      <c r="CS137" s="42"/>
    </row>
    <row r="138" spans="1:97" x14ac:dyDescent="0.25">
      <c r="A138" s="73"/>
      <c r="B138" s="73"/>
      <c r="C138" s="73"/>
      <c r="D138" s="73"/>
      <c r="E138" s="73"/>
      <c r="F138" s="115" t="s">
        <v>194</v>
      </c>
      <c r="G138" s="115" t="s">
        <v>44</v>
      </c>
      <c r="H138" s="154">
        <f>IF(H$134, H128 / H$133, 0)</f>
        <v>0.29800878261115621</v>
      </c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5"/>
      <c r="BD138" s="135"/>
      <c r="BE138" s="135"/>
      <c r="BF138" s="135"/>
      <c r="BG138" s="135"/>
      <c r="BH138" s="135"/>
      <c r="BI138" s="135"/>
      <c r="BJ138" s="135"/>
      <c r="BK138" s="135"/>
      <c r="BL138" s="135"/>
      <c r="BM138" s="135"/>
      <c r="BN138" s="135"/>
      <c r="BO138" s="135"/>
      <c r="BP138" s="135"/>
      <c r="BQ138" s="135"/>
      <c r="BR138" s="135"/>
      <c r="BS138" s="135"/>
      <c r="BT138" s="135"/>
      <c r="BU138" s="135"/>
      <c r="BV138" s="135"/>
      <c r="BW138" s="135"/>
      <c r="BX138" s="135"/>
      <c r="BY138" s="135"/>
      <c r="BZ138" s="135"/>
      <c r="CA138" s="135"/>
      <c r="CB138" s="135"/>
      <c r="CC138" s="135"/>
      <c r="CD138" s="135"/>
      <c r="CE138" s="135"/>
      <c r="CF138" s="135"/>
      <c r="CG138" s="135"/>
      <c r="CH138" s="135"/>
      <c r="CI138" s="135"/>
      <c r="CJ138" s="135"/>
      <c r="CK138" s="135"/>
      <c r="CL138" s="135"/>
      <c r="CM138" s="135"/>
      <c r="CN138" s="135"/>
      <c r="CO138" s="135"/>
      <c r="CP138" s="135"/>
      <c r="CQ138" s="74"/>
      <c r="CR138" s="73"/>
      <c r="CS138" s="42"/>
    </row>
    <row r="139" spans="1:97" x14ac:dyDescent="0.25">
      <c r="A139" s="73"/>
      <c r="B139" s="73"/>
      <c r="C139" s="73"/>
      <c r="D139" s="73"/>
      <c r="E139" s="73"/>
      <c r="F139" s="115" t="s">
        <v>41</v>
      </c>
      <c r="G139" s="115" t="s">
        <v>44</v>
      </c>
      <c r="H139" s="154">
        <f>IF(H$134, H129 / H$133, 0)</f>
        <v>7.3475330491969415E-2</v>
      </c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  <c r="BE139" s="135"/>
      <c r="BF139" s="135"/>
      <c r="BG139" s="135"/>
      <c r="BH139" s="135"/>
      <c r="BI139" s="135"/>
      <c r="BJ139" s="135"/>
      <c r="BK139" s="135"/>
      <c r="BL139" s="135"/>
      <c r="BM139" s="135"/>
      <c r="BN139" s="135"/>
      <c r="BO139" s="135"/>
      <c r="BP139" s="135"/>
      <c r="BQ139" s="135"/>
      <c r="BR139" s="135"/>
      <c r="BS139" s="135"/>
      <c r="BT139" s="135"/>
      <c r="BU139" s="135"/>
      <c r="BV139" s="135"/>
      <c r="BW139" s="135"/>
      <c r="BX139" s="135"/>
      <c r="BY139" s="135"/>
      <c r="BZ139" s="135"/>
      <c r="CA139" s="135"/>
      <c r="CB139" s="135"/>
      <c r="CC139" s="135"/>
      <c r="CD139" s="135"/>
      <c r="CE139" s="135"/>
      <c r="CF139" s="135"/>
      <c r="CG139" s="135"/>
      <c r="CH139" s="135"/>
      <c r="CI139" s="135"/>
      <c r="CJ139" s="135"/>
      <c r="CK139" s="135"/>
      <c r="CL139" s="135"/>
      <c r="CM139" s="135"/>
      <c r="CN139" s="135"/>
      <c r="CO139" s="135"/>
      <c r="CP139" s="135"/>
      <c r="CQ139" s="74"/>
      <c r="CR139" s="73"/>
      <c r="CS139" s="42"/>
    </row>
    <row r="140" spans="1:97" x14ac:dyDescent="0.25">
      <c r="A140" s="73"/>
      <c r="B140" s="73"/>
      <c r="C140" s="73"/>
      <c r="D140" s="73"/>
      <c r="E140" s="73"/>
      <c r="F140" s="115" t="s">
        <v>40</v>
      </c>
      <c r="G140" s="115" t="s">
        <v>44</v>
      </c>
      <c r="H140" s="154">
        <f>IF(H$134, H130 / H$133, 0)</f>
        <v>0.26254585805881014</v>
      </c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  <c r="AI140" s="135"/>
      <c r="AJ140" s="135"/>
      <c r="AK140" s="135"/>
      <c r="AL140" s="135"/>
      <c r="AM140" s="135"/>
      <c r="AN140" s="135"/>
      <c r="AO140" s="135"/>
      <c r="AP140" s="135"/>
      <c r="AQ140" s="135"/>
      <c r="AR140" s="135"/>
      <c r="AS140" s="135"/>
      <c r="AT140" s="135"/>
      <c r="AU140" s="135"/>
      <c r="AV140" s="135"/>
      <c r="AW140" s="135"/>
      <c r="AX140" s="135"/>
      <c r="AY140" s="135"/>
      <c r="AZ140" s="135"/>
      <c r="BA140" s="135"/>
      <c r="BB140" s="135"/>
      <c r="BC140" s="135"/>
      <c r="BD140" s="135"/>
      <c r="BE140" s="135"/>
      <c r="BF140" s="135"/>
      <c r="BG140" s="135"/>
      <c r="BH140" s="135"/>
      <c r="BI140" s="135"/>
      <c r="BJ140" s="135"/>
      <c r="BK140" s="135"/>
      <c r="BL140" s="135"/>
      <c r="BM140" s="135"/>
      <c r="BN140" s="135"/>
      <c r="BO140" s="135"/>
      <c r="BP140" s="135"/>
      <c r="BQ140" s="135"/>
      <c r="BR140" s="135"/>
      <c r="BS140" s="135"/>
      <c r="BT140" s="135"/>
      <c r="BU140" s="135"/>
      <c r="BV140" s="135"/>
      <c r="BW140" s="135"/>
      <c r="BX140" s="135"/>
      <c r="BY140" s="135"/>
      <c r="BZ140" s="135"/>
      <c r="CA140" s="135"/>
      <c r="CB140" s="135"/>
      <c r="CC140" s="135"/>
      <c r="CD140" s="135"/>
      <c r="CE140" s="135"/>
      <c r="CF140" s="135"/>
      <c r="CG140" s="135"/>
      <c r="CH140" s="135"/>
      <c r="CI140" s="135"/>
      <c r="CJ140" s="135"/>
      <c r="CK140" s="135"/>
      <c r="CL140" s="135"/>
      <c r="CM140" s="135"/>
      <c r="CN140" s="135"/>
      <c r="CO140" s="135"/>
      <c r="CP140" s="135"/>
      <c r="CQ140" s="74"/>
      <c r="CR140" s="73"/>
      <c r="CS140" s="42"/>
    </row>
    <row r="141" spans="1:97" x14ac:dyDescent="0.25">
      <c r="A141" s="73"/>
      <c r="B141" s="73"/>
      <c r="C141" s="73"/>
      <c r="D141" s="73"/>
      <c r="E141" s="73"/>
      <c r="F141" s="117" t="s">
        <v>166</v>
      </c>
      <c r="G141" s="117" t="s">
        <v>44</v>
      </c>
      <c r="H141" s="155">
        <f>IF(H$134, H131 / H$133, 0)</f>
        <v>0.20228529988376076</v>
      </c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  <c r="AI141" s="135"/>
      <c r="AJ141" s="135"/>
      <c r="AK141" s="135"/>
      <c r="AL141" s="135"/>
      <c r="AM141" s="135"/>
      <c r="AN141" s="135"/>
      <c r="AO141" s="135"/>
      <c r="AP141" s="135"/>
      <c r="AQ141" s="135"/>
      <c r="AR141" s="135"/>
      <c r="AS141" s="135"/>
      <c r="AT141" s="135"/>
      <c r="AU141" s="135"/>
      <c r="AV141" s="135"/>
      <c r="AW141" s="135"/>
      <c r="AX141" s="135"/>
      <c r="AY141" s="135"/>
      <c r="AZ141" s="135"/>
      <c r="BA141" s="135"/>
      <c r="BB141" s="135"/>
      <c r="BC141" s="135"/>
      <c r="BD141" s="135"/>
      <c r="BE141" s="135"/>
      <c r="BF141" s="135"/>
      <c r="BG141" s="135"/>
      <c r="BH141" s="135"/>
      <c r="BI141" s="135"/>
      <c r="BJ141" s="135"/>
      <c r="BK141" s="135"/>
      <c r="BL141" s="135"/>
      <c r="BM141" s="135"/>
      <c r="BN141" s="135"/>
      <c r="BO141" s="135"/>
      <c r="BP141" s="135"/>
      <c r="BQ141" s="135"/>
      <c r="BR141" s="135"/>
      <c r="BS141" s="135"/>
      <c r="BT141" s="135"/>
      <c r="BU141" s="135"/>
      <c r="BV141" s="135"/>
      <c r="BW141" s="135"/>
      <c r="BX141" s="135"/>
      <c r="BY141" s="135"/>
      <c r="BZ141" s="135"/>
      <c r="CA141" s="135"/>
      <c r="CB141" s="135"/>
      <c r="CC141" s="135"/>
      <c r="CD141" s="135"/>
      <c r="CE141" s="135"/>
      <c r="CF141" s="135"/>
      <c r="CG141" s="135"/>
      <c r="CH141" s="135"/>
      <c r="CI141" s="135"/>
      <c r="CJ141" s="135"/>
      <c r="CK141" s="135"/>
      <c r="CL141" s="135"/>
      <c r="CM141" s="135"/>
      <c r="CN141" s="135"/>
      <c r="CO141" s="135"/>
      <c r="CP141" s="135"/>
      <c r="CQ141" s="74"/>
      <c r="CR141" s="73"/>
      <c r="CS141" s="42"/>
    </row>
    <row r="142" spans="1:97" x14ac:dyDescent="0.25">
      <c r="A142" s="73"/>
      <c r="B142" s="73"/>
      <c r="C142" s="73"/>
      <c r="D142" s="73"/>
      <c r="E142" s="73"/>
      <c r="F142" s="73"/>
      <c r="G142" s="73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3"/>
      <c r="CS142" s="42"/>
    </row>
    <row r="143" spans="1:97" x14ac:dyDescent="0.25">
      <c r="A143" s="73"/>
      <c r="B143" s="73"/>
      <c r="C143" s="73"/>
      <c r="D143" s="73"/>
      <c r="E143" s="115" t="s">
        <v>239</v>
      </c>
      <c r="F143" s="73"/>
      <c r="G143" s="115" t="s">
        <v>231</v>
      </c>
      <c r="H143" s="136">
        <f>IF(SUM(H137:H141) = 1,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  <c r="BO143" s="136"/>
      <c r="BP143" s="136"/>
      <c r="BQ143" s="136"/>
      <c r="BR143" s="136"/>
      <c r="BS143" s="136"/>
      <c r="BT143" s="136"/>
      <c r="BU143" s="136"/>
      <c r="BV143" s="136"/>
      <c r="BW143" s="136"/>
      <c r="BX143" s="136"/>
      <c r="BY143" s="136"/>
      <c r="BZ143" s="136"/>
      <c r="CA143" s="136"/>
      <c r="CB143" s="136"/>
      <c r="CC143" s="136"/>
      <c r="CD143" s="136"/>
      <c r="CE143" s="136"/>
      <c r="CF143" s="136"/>
      <c r="CG143" s="136"/>
      <c r="CH143" s="136"/>
      <c r="CI143" s="136"/>
      <c r="CJ143" s="136"/>
      <c r="CK143" s="136"/>
      <c r="CL143" s="136"/>
      <c r="CM143" s="136"/>
      <c r="CN143" s="136"/>
      <c r="CO143" s="136"/>
      <c r="CP143" s="136"/>
      <c r="CQ143" s="74"/>
      <c r="CR143" s="73"/>
      <c r="CS143" s="42"/>
    </row>
    <row r="144" spans="1:97" x14ac:dyDescent="0.25">
      <c r="A144" s="73"/>
      <c r="B144" s="73"/>
      <c r="C144" s="73"/>
      <c r="D144" s="73"/>
      <c r="E144" s="109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3"/>
      <c r="CS144" s="42"/>
    </row>
    <row r="145" spans="1:97" x14ac:dyDescent="0.25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B145" s="108"/>
      <c r="BC145" s="108"/>
      <c r="BD145" s="108"/>
      <c r="BE145" s="108"/>
      <c r="BF145" s="108"/>
      <c r="BG145" s="108"/>
      <c r="BH145" s="108"/>
      <c r="BI145" s="108"/>
      <c r="BJ145" s="108"/>
      <c r="BK145" s="108"/>
      <c r="BL145" s="108"/>
      <c r="BM145" s="108"/>
      <c r="BN145" s="108"/>
      <c r="BO145" s="108"/>
      <c r="BP145" s="108"/>
      <c r="BQ145" s="108"/>
      <c r="BR145" s="108"/>
      <c r="BS145" s="108"/>
      <c r="BT145" s="108"/>
      <c r="BU145" s="108"/>
      <c r="BV145" s="108"/>
      <c r="BW145" s="108"/>
      <c r="BX145" s="108"/>
      <c r="BY145" s="108"/>
      <c r="BZ145" s="108"/>
      <c r="CA145" s="108"/>
      <c r="CB145" s="108"/>
      <c r="CC145" s="108"/>
      <c r="CD145" s="108"/>
      <c r="CE145" s="108"/>
      <c r="CF145" s="108"/>
      <c r="CG145" s="108"/>
      <c r="CH145" s="108"/>
      <c r="CI145" s="108"/>
      <c r="CJ145" s="108"/>
      <c r="CK145" s="108"/>
      <c r="CL145" s="108"/>
      <c r="CM145" s="108"/>
      <c r="CN145" s="108"/>
      <c r="CO145" s="108"/>
      <c r="CP145" s="108"/>
      <c r="CQ145" s="108"/>
      <c r="CR145" s="107"/>
      <c r="CS145" s="42"/>
    </row>
    <row r="146" spans="1:97" x14ac:dyDescent="0.25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3"/>
      <c r="CS146" s="42"/>
    </row>
    <row r="147" spans="1:97" x14ac:dyDescent="0.25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>H39 + H63 + H72 + H78 + H97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6"/>
      <c r="BE147" s="136"/>
      <c r="BF147" s="136"/>
      <c r="BG147" s="136"/>
      <c r="BH147" s="136"/>
      <c r="BI147" s="136"/>
      <c r="BJ147" s="136"/>
      <c r="BK147" s="136"/>
      <c r="BL147" s="136"/>
      <c r="BM147" s="136"/>
      <c r="BN147" s="136"/>
      <c r="BO147" s="136"/>
      <c r="BP147" s="136"/>
      <c r="BQ147" s="136"/>
      <c r="BR147" s="136"/>
      <c r="BS147" s="136"/>
      <c r="BT147" s="136"/>
      <c r="BU147" s="136"/>
      <c r="BV147" s="136"/>
      <c r="BW147" s="136"/>
      <c r="BX147" s="136"/>
      <c r="BY147" s="136"/>
      <c r="BZ147" s="136"/>
      <c r="CA147" s="136"/>
      <c r="CB147" s="136"/>
      <c r="CC147" s="136"/>
      <c r="CD147" s="136"/>
      <c r="CE147" s="136"/>
      <c r="CF147" s="136"/>
      <c r="CG147" s="136"/>
      <c r="CH147" s="136"/>
      <c r="CI147" s="136"/>
      <c r="CJ147" s="136"/>
      <c r="CK147" s="136"/>
      <c r="CL147" s="136"/>
      <c r="CM147" s="136"/>
      <c r="CN147" s="136"/>
      <c r="CO147" s="136"/>
      <c r="CP147" s="136"/>
      <c r="CQ147" s="74"/>
      <c r="CR147" s="73"/>
      <c r="CS147" s="42"/>
    </row>
    <row r="148" spans="1:97" x14ac:dyDescent="0.25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  <c r="CJ148" s="74"/>
      <c r="CK148" s="74"/>
      <c r="CL148" s="74"/>
      <c r="CM148" s="74"/>
      <c r="CN148" s="74"/>
      <c r="CO148" s="74"/>
      <c r="CP148" s="74"/>
      <c r="CQ148" s="74"/>
      <c r="CR148" s="73"/>
      <c r="CS148" s="42"/>
    </row>
    <row r="149" spans="1:97" x14ac:dyDescent="0.25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8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8"/>
      <c r="BN149" s="108"/>
      <c r="BO149" s="108"/>
      <c r="BP149" s="108"/>
      <c r="BQ149" s="108"/>
      <c r="BR149" s="108"/>
      <c r="BS149" s="108"/>
      <c r="BT149" s="108"/>
      <c r="BU149" s="108"/>
      <c r="BV149" s="108"/>
      <c r="BW149" s="108"/>
      <c r="BX149" s="108"/>
      <c r="BY149" s="108"/>
      <c r="BZ149" s="108"/>
      <c r="CA149" s="108"/>
      <c r="CB149" s="108"/>
      <c r="CC149" s="108"/>
      <c r="CD149" s="108"/>
      <c r="CE149" s="108"/>
      <c r="CF149" s="108"/>
      <c r="CG149" s="108"/>
      <c r="CH149" s="108"/>
      <c r="CI149" s="108"/>
      <c r="CJ149" s="108"/>
      <c r="CK149" s="108"/>
      <c r="CL149" s="108"/>
      <c r="CM149" s="108"/>
      <c r="CN149" s="108"/>
      <c r="CO149" s="108"/>
      <c r="CP149" s="108"/>
      <c r="CQ149" s="108"/>
      <c r="CR149" s="107"/>
      <c r="CS149" s="42"/>
    </row>
  </sheetData>
  <sheetProtection sheet="1" objects="1" formatCells="0" formatColumns="0" formatRows="0" sort="0" autoFilter="0"/>
  <conditionalFormatting sqref="H38">
    <cfRule type="cellIs" dxfId="40" priority="2" stopIfTrue="1" operator="greaterThan">
      <formula>0</formula>
    </cfRule>
  </conditionalFormatting>
  <conditionalFormatting sqref="H39">
    <cfRule type="cellIs" dxfId="39" priority="3" stopIfTrue="1" operator="greaterThan">
      <formula>0</formula>
    </cfRule>
  </conditionalFormatting>
  <conditionalFormatting sqref="H63">
    <cfRule type="cellIs" dxfId="38" priority="4" stopIfTrue="1" operator="greaterThan">
      <formula>0</formula>
    </cfRule>
  </conditionalFormatting>
  <conditionalFormatting sqref="H72">
    <cfRule type="cellIs" dxfId="37" priority="5" stopIfTrue="1" operator="greaterThan">
      <formula>0</formula>
    </cfRule>
  </conditionalFormatting>
  <conditionalFormatting sqref="H78">
    <cfRule type="cellIs" dxfId="36" priority="6" stopIfTrue="1" operator="greaterThan">
      <formula>0</formula>
    </cfRule>
  </conditionalFormatting>
  <conditionalFormatting sqref="H97">
    <cfRule type="cellIs" dxfId="35" priority="7" stopIfTrue="1" operator="greaterThan">
      <formula>0</formula>
    </cfRule>
  </conditionalFormatting>
  <conditionalFormatting sqref="H143">
    <cfRule type="cellIs" dxfId="34" priority="8" stopIfTrue="1" operator="greaterThan">
      <formula>0</formula>
    </cfRule>
  </conditionalFormatting>
  <conditionalFormatting sqref="H147">
    <cfRule type="cellIs" dxfId="33" priority="9" stopIfTrue="1" operator="greaterThan">
      <formula>0</formula>
    </cfRule>
  </conditionalFormatting>
  <conditionalFormatting sqref="A4:XFD4">
    <cfRule type="expression" dxfId="32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59999389629810485"/>
  </sheetPr>
  <dimension ref="A1:AT149"/>
  <sheetViews>
    <sheetView showGridLines="0" zoomScale="80" zoomScaleNormal="80" workbookViewId="0">
      <pane xSplit="9" ySplit="5" topLeftCell="J6" activePane="bottomRight" state="frozenSplit"/>
      <selection activeCell="C120" sqref="C120"/>
      <selection pane="topRight" activeCell="C120" sqref="C120"/>
      <selection pane="bottomLeft" activeCell="C120" sqref="C120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Expenditure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743</v>
      </c>
      <c r="AQ5" s="104" t="s">
        <v>742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364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731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74"/>
    </row>
    <row r="11" spans="1:46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42"/>
    </row>
    <row r="12" spans="1:46" x14ac:dyDescent="0.25">
      <c r="A12" s="73"/>
      <c r="B12" s="107" t="s">
        <v>244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7"/>
      <c r="AT12" s="42"/>
    </row>
    <row r="13" spans="1:46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3"/>
      <c r="AT13" s="42"/>
    </row>
    <row r="14" spans="1:46" x14ac:dyDescent="0.25">
      <c r="A14" s="73"/>
      <c r="B14" s="73"/>
      <c r="C14" s="109" t="s">
        <v>365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s="1" customFormat="1" x14ac:dyDescent="0.25">
      <c r="A16" s="73"/>
      <c r="B16" s="73"/>
      <c r="C16" s="110" t="s">
        <v>715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0"/>
      <c r="AT16" s="42"/>
    </row>
    <row r="17" spans="1:4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73"/>
      <c r="C18" s="73"/>
      <c r="D18" s="73"/>
      <c r="E18" s="112" t="s">
        <v>421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3"/>
      <c r="AT18" s="42"/>
    </row>
    <row r="19" spans="1:46" x14ac:dyDescent="0.25">
      <c r="A19" s="73"/>
      <c r="B19" s="73"/>
      <c r="C19" s="73"/>
      <c r="D19" s="73"/>
      <c r="E19" s="73"/>
      <c r="F19" s="113" t="str">
        <f>'DNO inputs'!J284</f>
        <v>LV</v>
      </c>
      <c r="G19" s="113" t="str">
        <f>'DNO inputs'!G285</f>
        <v>£ per year</v>
      </c>
      <c r="H19" s="145"/>
      <c r="I19" s="145"/>
      <c r="J19" s="133"/>
      <c r="K19" s="156">
        <f>'DNO inputs'!J286</f>
        <v>12000000</v>
      </c>
      <c r="L19" s="156">
        <f>'DNO inputs'!J287</f>
        <v>0</v>
      </c>
      <c r="M19" s="156">
        <f>'DNO inputs'!J288</f>
        <v>8499999.9999999981</v>
      </c>
      <c r="N19" s="156">
        <f>'DNO inputs'!J289</f>
        <v>1200000</v>
      </c>
      <c r="O19" s="156">
        <f>'DNO inputs'!J290</f>
        <v>2795916.4081484308</v>
      </c>
      <c r="P19" s="156">
        <f>'DNO inputs'!J291</f>
        <v>0</v>
      </c>
      <c r="Q19" s="156">
        <f>'DNO inputs'!J292</f>
        <v>0</v>
      </c>
      <c r="R19" s="156">
        <f>'DNO inputs'!J293</f>
        <v>0</v>
      </c>
      <c r="S19" s="156">
        <f>'DNO inputs'!J294</f>
        <v>0</v>
      </c>
      <c r="T19" s="156">
        <f>'DNO inputs'!J295</f>
        <v>0</v>
      </c>
      <c r="U19" s="156">
        <f>'DNO inputs'!J296</f>
        <v>0</v>
      </c>
      <c r="V19" s="156">
        <f>'DNO inputs'!J297</f>
        <v>0</v>
      </c>
      <c r="W19" s="156">
        <f>'DNO inputs'!J298</f>
        <v>0</v>
      </c>
      <c r="X19" s="156">
        <f>'DNO inputs'!J299</f>
        <v>0</v>
      </c>
      <c r="Y19" s="156">
        <f>'DNO inputs'!J300</f>
        <v>0</v>
      </c>
      <c r="Z19" s="156">
        <f>'DNO inputs'!J301</f>
        <v>0</v>
      </c>
      <c r="AA19" s="156">
        <f>'DNO inputs'!J302</f>
        <v>0</v>
      </c>
      <c r="AB19" s="156">
        <f>'DNO inputs'!J303</f>
        <v>0</v>
      </c>
      <c r="AC19" s="156">
        <f>'DNO inputs'!J304</f>
        <v>0</v>
      </c>
      <c r="AD19" s="156">
        <f>'DNO inputs'!J305</f>
        <v>0</v>
      </c>
      <c r="AE19" s="156">
        <f>'DNO inputs'!J306</f>
        <v>0</v>
      </c>
      <c r="AF19" s="156">
        <f>'DNO inputs'!J307</f>
        <v>0</v>
      </c>
      <c r="AG19" s="156">
        <f>'DNO inputs'!J308</f>
        <v>0</v>
      </c>
      <c r="AH19" s="156">
        <f>'DNO inputs'!J309</f>
        <v>0</v>
      </c>
      <c r="AI19" s="156">
        <f>'DNO inputs'!J310</f>
        <v>0</v>
      </c>
      <c r="AJ19" s="156">
        <f>'DNO inputs'!J311</f>
        <v>0</v>
      </c>
      <c r="AK19" s="156">
        <f>'DNO inputs'!J312</f>
        <v>0</v>
      </c>
      <c r="AL19" s="156">
        <f>'DNO inputs'!J313</f>
        <v>0</v>
      </c>
      <c r="AM19" s="156">
        <f>'DNO inputs'!J314</f>
        <v>0</v>
      </c>
      <c r="AN19" s="156">
        <f>'DNO inputs'!J315</f>
        <v>0</v>
      </c>
      <c r="AO19" s="156">
        <f>'DNO inputs'!J316</f>
        <v>0</v>
      </c>
      <c r="AP19" s="156">
        <f>'DNO inputs'!J317</f>
        <v>0</v>
      </c>
      <c r="AQ19" s="156">
        <f>'DNO inputs'!J318</f>
        <v>0</v>
      </c>
      <c r="AR19" s="74"/>
      <c r="AS19" s="73"/>
      <c r="AT19" s="42"/>
    </row>
    <row r="20" spans="1:46" x14ac:dyDescent="0.25">
      <c r="A20" s="73"/>
      <c r="B20" s="73"/>
      <c r="C20" s="73"/>
      <c r="D20" s="73"/>
      <c r="E20" s="73"/>
      <c r="F20" s="115" t="str">
        <f>'DNO inputs'!K284</f>
        <v>HV/LV</v>
      </c>
      <c r="G20" s="115" t="str">
        <f>G$19</f>
        <v>£ per year</v>
      </c>
      <c r="H20" s="130"/>
      <c r="I20" s="130"/>
      <c r="J20" s="160"/>
      <c r="K20" s="152">
        <f>'DNO inputs'!K286</f>
        <v>5000000</v>
      </c>
      <c r="L20" s="152">
        <f>'DNO inputs'!K287</f>
        <v>0</v>
      </c>
      <c r="M20" s="152">
        <f>'DNO inputs'!K288</f>
        <v>400000</v>
      </c>
      <c r="N20" s="152">
        <f>'DNO inputs'!K289</f>
        <v>2700000</v>
      </c>
      <c r="O20" s="152">
        <f>'DNO inputs'!K290</f>
        <v>0</v>
      </c>
      <c r="P20" s="152">
        <f>'DNO inputs'!K291</f>
        <v>0</v>
      </c>
      <c r="Q20" s="152">
        <f>'DNO inputs'!K292</f>
        <v>0</v>
      </c>
      <c r="R20" s="152">
        <f>'DNO inputs'!K293</f>
        <v>0</v>
      </c>
      <c r="S20" s="152">
        <f>'DNO inputs'!K294</f>
        <v>0</v>
      </c>
      <c r="T20" s="152">
        <f>'DNO inputs'!K295</f>
        <v>0</v>
      </c>
      <c r="U20" s="152">
        <f>'DNO inputs'!K296</f>
        <v>0</v>
      </c>
      <c r="V20" s="152">
        <f>'DNO inputs'!K297</f>
        <v>0</v>
      </c>
      <c r="W20" s="152">
        <f>'DNO inputs'!K298</f>
        <v>0</v>
      </c>
      <c r="X20" s="152">
        <f>'DNO inputs'!K299</f>
        <v>0</v>
      </c>
      <c r="Y20" s="152">
        <f>'DNO inputs'!K300</f>
        <v>0</v>
      </c>
      <c r="Z20" s="152">
        <f>'DNO inputs'!K301</f>
        <v>0</v>
      </c>
      <c r="AA20" s="152">
        <f>'DNO inputs'!K302</f>
        <v>0</v>
      </c>
      <c r="AB20" s="152">
        <f>'DNO inputs'!K303</f>
        <v>0</v>
      </c>
      <c r="AC20" s="152">
        <f>'DNO inputs'!K304</f>
        <v>0</v>
      </c>
      <c r="AD20" s="152">
        <f>'DNO inputs'!K305</f>
        <v>0</v>
      </c>
      <c r="AE20" s="152">
        <f>'DNO inputs'!K306</f>
        <v>0</v>
      </c>
      <c r="AF20" s="152">
        <f>'DNO inputs'!K307</f>
        <v>0</v>
      </c>
      <c r="AG20" s="152">
        <f>'DNO inputs'!K308</f>
        <v>0</v>
      </c>
      <c r="AH20" s="152">
        <f>'DNO inputs'!K309</f>
        <v>0</v>
      </c>
      <c r="AI20" s="152">
        <f>'DNO inputs'!K310</f>
        <v>0</v>
      </c>
      <c r="AJ20" s="152">
        <f>'DNO inputs'!K311</f>
        <v>0</v>
      </c>
      <c r="AK20" s="152">
        <f>'DNO inputs'!K312</f>
        <v>0</v>
      </c>
      <c r="AL20" s="152">
        <f>'DNO inputs'!K313</f>
        <v>0</v>
      </c>
      <c r="AM20" s="152">
        <f>'DNO inputs'!K314</f>
        <v>0</v>
      </c>
      <c r="AN20" s="152">
        <f>'DNO inputs'!K315</f>
        <v>0</v>
      </c>
      <c r="AO20" s="152">
        <f>'DNO inputs'!K316</f>
        <v>0</v>
      </c>
      <c r="AP20" s="152">
        <f>'DNO inputs'!K317</f>
        <v>0</v>
      </c>
      <c r="AQ20" s="152">
        <f>'DNO inputs'!K318</f>
        <v>0</v>
      </c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5" t="str">
        <f>'DNO inputs'!L284</f>
        <v>HV</v>
      </c>
      <c r="G21" s="115" t="str">
        <f>G$19</f>
        <v>£ per year</v>
      </c>
      <c r="H21" s="130"/>
      <c r="I21" s="130"/>
      <c r="J21" s="160"/>
      <c r="K21" s="152">
        <f>'DNO inputs'!L286</f>
        <v>14899999.999999998</v>
      </c>
      <c r="L21" s="152">
        <f>'DNO inputs'!L287</f>
        <v>0</v>
      </c>
      <c r="M21" s="152">
        <f>'DNO inputs'!L288</f>
        <v>2500000</v>
      </c>
      <c r="N21" s="152">
        <f>'DNO inputs'!L289</f>
        <v>800000</v>
      </c>
      <c r="O21" s="152">
        <f>'DNO inputs'!L290</f>
        <v>2119896.1128685074</v>
      </c>
      <c r="P21" s="152">
        <f>'DNO inputs'!L291</f>
        <v>0</v>
      </c>
      <c r="Q21" s="152">
        <f>'DNO inputs'!L292</f>
        <v>0</v>
      </c>
      <c r="R21" s="152">
        <f>'DNO inputs'!L293</f>
        <v>0</v>
      </c>
      <c r="S21" s="152">
        <f>'DNO inputs'!L294</f>
        <v>0</v>
      </c>
      <c r="T21" s="152">
        <f>'DNO inputs'!L295</f>
        <v>0</v>
      </c>
      <c r="U21" s="152">
        <f>'DNO inputs'!L296</f>
        <v>0</v>
      </c>
      <c r="V21" s="152">
        <f>'DNO inputs'!L297</f>
        <v>0</v>
      </c>
      <c r="W21" s="152">
        <f>'DNO inputs'!L298</f>
        <v>0</v>
      </c>
      <c r="X21" s="152">
        <f>'DNO inputs'!L299</f>
        <v>0</v>
      </c>
      <c r="Y21" s="152">
        <f>'DNO inputs'!L300</f>
        <v>0</v>
      </c>
      <c r="Z21" s="152">
        <f>'DNO inputs'!L301</f>
        <v>0</v>
      </c>
      <c r="AA21" s="152">
        <f>'DNO inputs'!L302</f>
        <v>0</v>
      </c>
      <c r="AB21" s="152">
        <f>'DNO inputs'!L303</f>
        <v>0</v>
      </c>
      <c r="AC21" s="152">
        <f>'DNO inputs'!L304</f>
        <v>0</v>
      </c>
      <c r="AD21" s="152">
        <f>'DNO inputs'!L305</f>
        <v>0</v>
      </c>
      <c r="AE21" s="152">
        <f>'DNO inputs'!L306</f>
        <v>0</v>
      </c>
      <c r="AF21" s="152">
        <f>'DNO inputs'!L307</f>
        <v>0</v>
      </c>
      <c r="AG21" s="152">
        <f>'DNO inputs'!L308</f>
        <v>0</v>
      </c>
      <c r="AH21" s="152">
        <f>'DNO inputs'!L309</f>
        <v>0</v>
      </c>
      <c r="AI21" s="152">
        <f>'DNO inputs'!L310</f>
        <v>0</v>
      </c>
      <c r="AJ21" s="152">
        <f>'DNO inputs'!L311</f>
        <v>0</v>
      </c>
      <c r="AK21" s="152">
        <f>'DNO inputs'!L312</f>
        <v>0</v>
      </c>
      <c r="AL21" s="152">
        <f>'DNO inputs'!L313</f>
        <v>0</v>
      </c>
      <c r="AM21" s="152">
        <f>'DNO inputs'!L314</f>
        <v>0</v>
      </c>
      <c r="AN21" s="152">
        <f>'DNO inputs'!L315</f>
        <v>0</v>
      </c>
      <c r="AO21" s="152">
        <f>'DNO inputs'!L316</f>
        <v>0</v>
      </c>
      <c r="AP21" s="152">
        <f>'DNO inputs'!L317</f>
        <v>0</v>
      </c>
      <c r="AQ21" s="152">
        <f>'DNO inputs'!L318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7" t="str">
        <f>'DNO inputs'!M284</f>
        <v>EHV and 132kV</v>
      </c>
      <c r="G22" s="117" t="str">
        <f>G$19</f>
        <v>£ per year</v>
      </c>
      <c r="H22" s="146"/>
      <c r="I22" s="147"/>
      <c r="J22" s="161"/>
      <c r="K22" s="162">
        <f>'DNO inputs'!M286</f>
        <v>13300000.000000002</v>
      </c>
      <c r="L22" s="162">
        <f>'DNO inputs'!M287</f>
        <v>0</v>
      </c>
      <c r="M22" s="162">
        <f>'DNO inputs'!M288</f>
        <v>1000000</v>
      </c>
      <c r="N22" s="162">
        <f>'DNO inputs'!M289</f>
        <v>2100000</v>
      </c>
      <c r="O22" s="162">
        <f>'DNO inputs'!M290</f>
        <v>393330.13347943331</v>
      </c>
      <c r="P22" s="162">
        <f>'DNO inputs'!M291</f>
        <v>0</v>
      </c>
      <c r="Q22" s="162">
        <f>'DNO inputs'!M292</f>
        <v>0</v>
      </c>
      <c r="R22" s="162">
        <f>'DNO inputs'!M293</f>
        <v>0</v>
      </c>
      <c r="S22" s="162">
        <f>'DNO inputs'!M294</f>
        <v>0</v>
      </c>
      <c r="T22" s="162">
        <f>'DNO inputs'!M295</f>
        <v>0</v>
      </c>
      <c r="U22" s="162">
        <f>'DNO inputs'!M296</f>
        <v>0</v>
      </c>
      <c r="V22" s="162">
        <f>'DNO inputs'!M297</f>
        <v>0</v>
      </c>
      <c r="W22" s="162">
        <f>'DNO inputs'!M298</f>
        <v>0</v>
      </c>
      <c r="X22" s="162">
        <f>'DNO inputs'!M299</f>
        <v>0</v>
      </c>
      <c r="Y22" s="162">
        <f>'DNO inputs'!M300</f>
        <v>0</v>
      </c>
      <c r="Z22" s="162">
        <f>'DNO inputs'!M301</f>
        <v>0</v>
      </c>
      <c r="AA22" s="162">
        <f>'DNO inputs'!M302</f>
        <v>0</v>
      </c>
      <c r="AB22" s="162">
        <f>'DNO inputs'!M303</f>
        <v>0</v>
      </c>
      <c r="AC22" s="162">
        <f>'DNO inputs'!M304</f>
        <v>0</v>
      </c>
      <c r="AD22" s="162">
        <f>'DNO inputs'!M305</f>
        <v>0</v>
      </c>
      <c r="AE22" s="162">
        <f>'DNO inputs'!M306</f>
        <v>0</v>
      </c>
      <c r="AF22" s="162">
        <f>'DNO inputs'!M307</f>
        <v>0</v>
      </c>
      <c r="AG22" s="162">
        <f>'DNO inputs'!M308</f>
        <v>0</v>
      </c>
      <c r="AH22" s="162">
        <f>'DNO inputs'!M309</f>
        <v>0</v>
      </c>
      <c r="AI22" s="162">
        <f>'DNO inputs'!M310</f>
        <v>0</v>
      </c>
      <c r="AJ22" s="162">
        <f>'DNO inputs'!M311</f>
        <v>0</v>
      </c>
      <c r="AK22" s="162">
        <f>'DNO inputs'!M312</f>
        <v>0</v>
      </c>
      <c r="AL22" s="162">
        <f>'DNO inputs'!M313</f>
        <v>0</v>
      </c>
      <c r="AM22" s="162">
        <f>'DNO inputs'!M314</f>
        <v>0</v>
      </c>
      <c r="AN22" s="162">
        <f>'DNO inputs'!M315</f>
        <v>0</v>
      </c>
      <c r="AO22" s="162">
        <f>'DNO inputs'!M316</f>
        <v>0</v>
      </c>
      <c r="AP22" s="162">
        <f>'DNO inputs'!M317</f>
        <v>0</v>
      </c>
      <c r="AQ22" s="162">
        <f>'DNO inputs'!M318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3"/>
      <c r="AT23" s="42"/>
    </row>
    <row r="24" spans="1:46" x14ac:dyDescent="0.25">
      <c r="A24" s="73"/>
      <c r="B24" s="73"/>
      <c r="C24" s="73"/>
      <c r="D24" s="73"/>
      <c r="E24" s="112" t="s">
        <v>420</v>
      </c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3" t="str">
        <f>'DNO inputs'!F326</f>
        <v>LV</v>
      </c>
      <c r="G25" s="113" t="str">
        <f>'DNO inputs'!G326</f>
        <v>£ per year</v>
      </c>
      <c r="H25" s="145"/>
      <c r="I25" s="145"/>
      <c r="J25" s="156">
        <f>'DNO inputs'!H326</f>
        <v>890000.00000000058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115" t="str">
        <f>'DNO inputs'!F327</f>
        <v>HV/LV</v>
      </c>
      <c r="G26" s="115" t="str">
        <f>'DNO inputs'!G327</f>
        <v>£ per year</v>
      </c>
      <c r="H26" s="130"/>
      <c r="I26" s="130"/>
      <c r="J26" s="152">
        <f>'DNO inputs'!H327</f>
        <v>0</v>
      </c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74"/>
      <c r="AS26" s="73"/>
      <c r="AT26" s="42"/>
    </row>
    <row r="27" spans="1:46" x14ac:dyDescent="0.25">
      <c r="A27" s="73"/>
      <c r="B27" s="73"/>
      <c r="C27" s="73"/>
      <c r="D27" s="73"/>
      <c r="E27" s="73"/>
      <c r="F27" s="115" t="str">
        <f>'DNO inputs'!F328</f>
        <v>HV</v>
      </c>
      <c r="G27" s="115" t="str">
        <f>'DNO inputs'!G328</f>
        <v>£ per year</v>
      </c>
      <c r="H27" s="130"/>
      <c r="I27" s="130"/>
      <c r="J27" s="152">
        <f>'DNO inputs'!H328</f>
        <v>1160000.0000000002</v>
      </c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7" t="str">
        <f>'DNO inputs'!F329</f>
        <v>EHV and 132kV</v>
      </c>
      <c r="G28" s="117" t="str">
        <f>'DNO inputs'!G329</f>
        <v>£ per year</v>
      </c>
      <c r="H28" s="146"/>
      <c r="I28" s="147"/>
      <c r="J28" s="162">
        <f>'DNO inputs'!H329</f>
        <v>4900000</v>
      </c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3"/>
      <c r="AT29" s="42"/>
    </row>
    <row r="30" spans="1:46" x14ac:dyDescent="0.25">
      <c r="A30" s="115"/>
      <c r="B30" s="73"/>
      <c r="C30" s="73"/>
      <c r="D30" s="73"/>
      <c r="E30" s="112" t="s">
        <v>245</v>
      </c>
      <c r="F30" s="73"/>
      <c r="G30" s="73"/>
      <c r="H30" s="74"/>
      <c r="I30" s="132" t="s">
        <v>314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115" t="s">
        <v>593</v>
      </c>
      <c r="AT30" s="42"/>
    </row>
    <row r="31" spans="1:46" x14ac:dyDescent="0.25">
      <c r="A31" s="73"/>
      <c r="B31" s="73"/>
      <c r="C31" s="73"/>
      <c r="D31" s="73"/>
      <c r="E31" s="73"/>
      <c r="F31" s="113" t="s">
        <v>165</v>
      </c>
      <c r="G31" s="113" t="str">
        <f>G$19</f>
        <v>£ per year</v>
      </c>
      <c r="H31" s="145"/>
      <c r="I31" s="145"/>
      <c r="J31" s="163">
        <f t="shared" ref="J31:AQ31" si="0">J19 + J25</f>
        <v>890000.00000000058</v>
      </c>
      <c r="K31" s="163">
        <f t="shared" si="0"/>
        <v>12000000</v>
      </c>
      <c r="L31" s="163">
        <f t="shared" si="0"/>
        <v>0</v>
      </c>
      <c r="M31" s="163">
        <f t="shared" si="0"/>
        <v>8499999.9999999981</v>
      </c>
      <c r="N31" s="163">
        <f t="shared" si="0"/>
        <v>1200000</v>
      </c>
      <c r="O31" s="163">
        <f t="shared" si="0"/>
        <v>2795916.4081484308</v>
      </c>
      <c r="P31" s="163">
        <f t="shared" si="0"/>
        <v>0</v>
      </c>
      <c r="Q31" s="163">
        <f t="shared" si="0"/>
        <v>0</v>
      </c>
      <c r="R31" s="163">
        <f t="shared" si="0"/>
        <v>0</v>
      </c>
      <c r="S31" s="163">
        <f t="shared" si="0"/>
        <v>0</v>
      </c>
      <c r="T31" s="163">
        <f t="shared" si="0"/>
        <v>0</v>
      </c>
      <c r="U31" s="163">
        <f t="shared" si="0"/>
        <v>0</v>
      </c>
      <c r="V31" s="163">
        <f t="shared" si="0"/>
        <v>0</v>
      </c>
      <c r="W31" s="163">
        <f t="shared" si="0"/>
        <v>0</v>
      </c>
      <c r="X31" s="163">
        <f t="shared" si="0"/>
        <v>0</v>
      </c>
      <c r="Y31" s="163">
        <f t="shared" si="0"/>
        <v>0</v>
      </c>
      <c r="Z31" s="163">
        <f t="shared" si="0"/>
        <v>0</v>
      </c>
      <c r="AA31" s="163">
        <f t="shared" si="0"/>
        <v>0</v>
      </c>
      <c r="AB31" s="163">
        <f t="shared" si="0"/>
        <v>0</v>
      </c>
      <c r="AC31" s="163">
        <f t="shared" si="0"/>
        <v>0</v>
      </c>
      <c r="AD31" s="163">
        <f t="shared" si="0"/>
        <v>0</v>
      </c>
      <c r="AE31" s="163">
        <f t="shared" si="0"/>
        <v>0</v>
      </c>
      <c r="AF31" s="163">
        <f t="shared" si="0"/>
        <v>0</v>
      </c>
      <c r="AG31" s="163">
        <f t="shared" si="0"/>
        <v>0</v>
      </c>
      <c r="AH31" s="163">
        <f t="shared" si="0"/>
        <v>0</v>
      </c>
      <c r="AI31" s="163">
        <f t="shared" si="0"/>
        <v>0</v>
      </c>
      <c r="AJ31" s="163">
        <f t="shared" si="0"/>
        <v>0</v>
      </c>
      <c r="AK31" s="163">
        <f t="shared" si="0"/>
        <v>0</v>
      </c>
      <c r="AL31" s="163">
        <f t="shared" si="0"/>
        <v>0</v>
      </c>
      <c r="AM31" s="163">
        <f t="shared" si="0"/>
        <v>0</v>
      </c>
      <c r="AN31" s="163">
        <f t="shared" si="0"/>
        <v>0</v>
      </c>
      <c r="AO31" s="163">
        <f t="shared" si="0"/>
        <v>0</v>
      </c>
      <c r="AP31" s="163">
        <f t="shared" ref="AP31" si="1">AP19 + AP25</f>
        <v>0</v>
      </c>
      <c r="AQ31" s="163">
        <f t="shared" si="0"/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5" t="s">
        <v>41</v>
      </c>
      <c r="G32" s="115" t="str">
        <f>G$19</f>
        <v>£ per year</v>
      </c>
      <c r="H32" s="130"/>
      <c r="I32" s="130"/>
      <c r="J32" s="164">
        <f t="shared" ref="J32:AQ32" si="2">J20 + J26</f>
        <v>0</v>
      </c>
      <c r="K32" s="164">
        <f t="shared" si="2"/>
        <v>5000000</v>
      </c>
      <c r="L32" s="164">
        <f t="shared" si="2"/>
        <v>0</v>
      </c>
      <c r="M32" s="164">
        <f t="shared" si="2"/>
        <v>400000</v>
      </c>
      <c r="N32" s="164">
        <f t="shared" si="2"/>
        <v>2700000</v>
      </c>
      <c r="O32" s="164">
        <f t="shared" si="2"/>
        <v>0</v>
      </c>
      <c r="P32" s="164">
        <f t="shared" si="2"/>
        <v>0</v>
      </c>
      <c r="Q32" s="164">
        <f t="shared" si="2"/>
        <v>0</v>
      </c>
      <c r="R32" s="164">
        <f t="shared" si="2"/>
        <v>0</v>
      </c>
      <c r="S32" s="164">
        <f t="shared" si="2"/>
        <v>0</v>
      </c>
      <c r="T32" s="164">
        <f t="shared" si="2"/>
        <v>0</v>
      </c>
      <c r="U32" s="164">
        <f t="shared" si="2"/>
        <v>0</v>
      </c>
      <c r="V32" s="164">
        <f t="shared" si="2"/>
        <v>0</v>
      </c>
      <c r="W32" s="164">
        <f t="shared" si="2"/>
        <v>0</v>
      </c>
      <c r="X32" s="164">
        <f t="shared" si="2"/>
        <v>0</v>
      </c>
      <c r="Y32" s="164">
        <f t="shared" si="2"/>
        <v>0</v>
      </c>
      <c r="Z32" s="164">
        <f t="shared" si="2"/>
        <v>0</v>
      </c>
      <c r="AA32" s="164">
        <f t="shared" si="2"/>
        <v>0</v>
      </c>
      <c r="AB32" s="164">
        <f t="shared" si="2"/>
        <v>0</v>
      </c>
      <c r="AC32" s="164">
        <f t="shared" si="2"/>
        <v>0</v>
      </c>
      <c r="AD32" s="164">
        <f t="shared" si="2"/>
        <v>0</v>
      </c>
      <c r="AE32" s="164">
        <f t="shared" si="2"/>
        <v>0</v>
      </c>
      <c r="AF32" s="164">
        <f t="shared" si="2"/>
        <v>0</v>
      </c>
      <c r="AG32" s="164">
        <f t="shared" si="2"/>
        <v>0</v>
      </c>
      <c r="AH32" s="164">
        <f t="shared" si="2"/>
        <v>0</v>
      </c>
      <c r="AI32" s="164">
        <f t="shared" si="2"/>
        <v>0</v>
      </c>
      <c r="AJ32" s="164">
        <f t="shared" si="2"/>
        <v>0</v>
      </c>
      <c r="AK32" s="164">
        <f t="shared" si="2"/>
        <v>0</v>
      </c>
      <c r="AL32" s="164">
        <f t="shared" si="2"/>
        <v>0</v>
      </c>
      <c r="AM32" s="164">
        <f t="shared" si="2"/>
        <v>0</v>
      </c>
      <c r="AN32" s="164">
        <f t="shared" si="2"/>
        <v>0</v>
      </c>
      <c r="AO32" s="164">
        <f t="shared" si="2"/>
        <v>0</v>
      </c>
      <c r="AP32" s="164">
        <f t="shared" ref="AP32" si="3">AP20 + AP26</f>
        <v>0</v>
      </c>
      <c r="AQ32" s="164">
        <f t="shared" si="2"/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115" t="s">
        <v>40</v>
      </c>
      <c r="G33" s="115" t="str">
        <f>G$19</f>
        <v>£ per year</v>
      </c>
      <c r="H33" s="130"/>
      <c r="I33" s="130"/>
      <c r="J33" s="164">
        <f t="shared" ref="J33:AQ33" si="4">J21 + J27</f>
        <v>1160000.0000000002</v>
      </c>
      <c r="K33" s="164">
        <f t="shared" si="4"/>
        <v>14899999.999999998</v>
      </c>
      <c r="L33" s="164">
        <f t="shared" si="4"/>
        <v>0</v>
      </c>
      <c r="M33" s="164">
        <f t="shared" si="4"/>
        <v>2500000</v>
      </c>
      <c r="N33" s="164">
        <f t="shared" si="4"/>
        <v>800000</v>
      </c>
      <c r="O33" s="164">
        <f t="shared" si="4"/>
        <v>2119896.1128685074</v>
      </c>
      <c r="P33" s="164">
        <f t="shared" si="4"/>
        <v>0</v>
      </c>
      <c r="Q33" s="164">
        <f t="shared" si="4"/>
        <v>0</v>
      </c>
      <c r="R33" s="164">
        <f t="shared" si="4"/>
        <v>0</v>
      </c>
      <c r="S33" s="164">
        <f t="shared" si="4"/>
        <v>0</v>
      </c>
      <c r="T33" s="164">
        <f t="shared" si="4"/>
        <v>0</v>
      </c>
      <c r="U33" s="164">
        <f t="shared" si="4"/>
        <v>0</v>
      </c>
      <c r="V33" s="164">
        <f t="shared" si="4"/>
        <v>0</v>
      </c>
      <c r="W33" s="164">
        <f t="shared" si="4"/>
        <v>0</v>
      </c>
      <c r="X33" s="164">
        <f t="shared" si="4"/>
        <v>0</v>
      </c>
      <c r="Y33" s="164">
        <f t="shared" si="4"/>
        <v>0</v>
      </c>
      <c r="Z33" s="164">
        <f t="shared" si="4"/>
        <v>0</v>
      </c>
      <c r="AA33" s="164">
        <f t="shared" si="4"/>
        <v>0</v>
      </c>
      <c r="AB33" s="164">
        <f t="shared" si="4"/>
        <v>0</v>
      </c>
      <c r="AC33" s="164">
        <f t="shared" si="4"/>
        <v>0</v>
      </c>
      <c r="AD33" s="164">
        <f t="shared" si="4"/>
        <v>0</v>
      </c>
      <c r="AE33" s="164">
        <f t="shared" si="4"/>
        <v>0</v>
      </c>
      <c r="AF33" s="164">
        <f t="shared" si="4"/>
        <v>0</v>
      </c>
      <c r="AG33" s="164">
        <f t="shared" si="4"/>
        <v>0</v>
      </c>
      <c r="AH33" s="164">
        <f t="shared" si="4"/>
        <v>0</v>
      </c>
      <c r="AI33" s="164">
        <f t="shared" si="4"/>
        <v>0</v>
      </c>
      <c r="AJ33" s="164">
        <f t="shared" si="4"/>
        <v>0</v>
      </c>
      <c r="AK33" s="164">
        <f t="shared" si="4"/>
        <v>0</v>
      </c>
      <c r="AL33" s="164">
        <f t="shared" si="4"/>
        <v>0</v>
      </c>
      <c r="AM33" s="164">
        <f t="shared" si="4"/>
        <v>0</v>
      </c>
      <c r="AN33" s="164">
        <f t="shared" si="4"/>
        <v>0</v>
      </c>
      <c r="AO33" s="164">
        <f t="shared" si="4"/>
        <v>0</v>
      </c>
      <c r="AP33" s="164">
        <f t="shared" ref="AP33" si="5">AP21 + AP27</f>
        <v>0</v>
      </c>
      <c r="AQ33" s="164">
        <f t="shared" si="4"/>
        <v>0</v>
      </c>
      <c r="AR33" s="74"/>
      <c r="AS33" s="73"/>
      <c r="AT33" s="42"/>
    </row>
    <row r="34" spans="1:46" x14ac:dyDescent="0.25">
      <c r="A34" s="73"/>
      <c r="B34" s="73"/>
      <c r="C34" s="73"/>
      <c r="D34" s="73"/>
      <c r="E34" s="73"/>
      <c r="F34" s="117" t="s">
        <v>166</v>
      </c>
      <c r="G34" s="117" t="str">
        <f>G$19</f>
        <v>£ per year</v>
      </c>
      <c r="H34" s="146"/>
      <c r="I34" s="147"/>
      <c r="J34" s="165">
        <f t="shared" ref="J34:AQ34" si="6">J22 + J28</f>
        <v>4900000</v>
      </c>
      <c r="K34" s="165">
        <f t="shared" si="6"/>
        <v>13300000.000000002</v>
      </c>
      <c r="L34" s="165">
        <f t="shared" si="6"/>
        <v>0</v>
      </c>
      <c r="M34" s="165">
        <f t="shared" si="6"/>
        <v>1000000</v>
      </c>
      <c r="N34" s="165">
        <f t="shared" si="6"/>
        <v>2100000</v>
      </c>
      <c r="O34" s="165">
        <f t="shared" si="6"/>
        <v>393330.13347943331</v>
      </c>
      <c r="P34" s="165">
        <f t="shared" si="6"/>
        <v>0</v>
      </c>
      <c r="Q34" s="165">
        <f t="shared" si="6"/>
        <v>0</v>
      </c>
      <c r="R34" s="165">
        <f t="shared" si="6"/>
        <v>0</v>
      </c>
      <c r="S34" s="165">
        <f t="shared" si="6"/>
        <v>0</v>
      </c>
      <c r="T34" s="165">
        <f t="shared" si="6"/>
        <v>0</v>
      </c>
      <c r="U34" s="165">
        <f t="shared" si="6"/>
        <v>0</v>
      </c>
      <c r="V34" s="165">
        <f t="shared" si="6"/>
        <v>0</v>
      </c>
      <c r="W34" s="165">
        <f t="shared" si="6"/>
        <v>0</v>
      </c>
      <c r="X34" s="165">
        <f t="shared" si="6"/>
        <v>0</v>
      </c>
      <c r="Y34" s="165">
        <f t="shared" si="6"/>
        <v>0</v>
      </c>
      <c r="Z34" s="165">
        <f t="shared" si="6"/>
        <v>0</v>
      </c>
      <c r="AA34" s="165">
        <f t="shared" si="6"/>
        <v>0</v>
      </c>
      <c r="AB34" s="165">
        <f t="shared" si="6"/>
        <v>0</v>
      </c>
      <c r="AC34" s="165">
        <f t="shared" si="6"/>
        <v>0</v>
      </c>
      <c r="AD34" s="165">
        <f t="shared" si="6"/>
        <v>0</v>
      </c>
      <c r="AE34" s="165">
        <f t="shared" si="6"/>
        <v>0</v>
      </c>
      <c r="AF34" s="165">
        <f t="shared" si="6"/>
        <v>0</v>
      </c>
      <c r="AG34" s="165">
        <f t="shared" si="6"/>
        <v>0</v>
      </c>
      <c r="AH34" s="165">
        <f t="shared" si="6"/>
        <v>0</v>
      </c>
      <c r="AI34" s="165">
        <f t="shared" si="6"/>
        <v>0</v>
      </c>
      <c r="AJ34" s="165">
        <f t="shared" si="6"/>
        <v>0</v>
      </c>
      <c r="AK34" s="165">
        <f t="shared" si="6"/>
        <v>0</v>
      </c>
      <c r="AL34" s="165">
        <f t="shared" si="6"/>
        <v>0</v>
      </c>
      <c r="AM34" s="165">
        <f t="shared" si="6"/>
        <v>0</v>
      </c>
      <c r="AN34" s="165">
        <f t="shared" si="6"/>
        <v>0</v>
      </c>
      <c r="AO34" s="165">
        <f t="shared" si="6"/>
        <v>0</v>
      </c>
      <c r="AP34" s="165">
        <f t="shared" ref="AP34" si="7">AP22 + AP28</f>
        <v>0</v>
      </c>
      <c r="AQ34" s="165">
        <f t="shared" si="6"/>
        <v>0</v>
      </c>
      <c r="AR34" s="74"/>
      <c r="AS34" s="73"/>
      <c r="AT34" s="42"/>
    </row>
    <row r="35" spans="1:46" x14ac:dyDescent="0.25">
      <c r="A35" s="73"/>
      <c r="B35" s="73"/>
      <c r="C35" s="73"/>
      <c r="D35" s="73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s="1" customFormat="1" x14ac:dyDescent="0.25">
      <c r="A36" s="73"/>
      <c r="B36" s="73"/>
      <c r="C36" s="110" t="s">
        <v>716</v>
      </c>
      <c r="D36" s="110"/>
      <c r="E36" s="110"/>
      <c r="F36" s="110"/>
      <c r="G36" s="110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0"/>
      <c r="AT36" s="42"/>
    </row>
    <row r="37" spans="1:46" s="1" customFormat="1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73"/>
      <c r="B38" s="73"/>
      <c r="C38" s="73"/>
      <c r="D38" s="73"/>
      <c r="E38" s="115" t="str">
        <f>MEAV!F75</f>
        <v>Services share of LV MEAV</v>
      </c>
      <c r="F38" s="73"/>
      <c r="G38" s="115" t="str">
        <f>MEAV!G75</f>
        <v>%</v>
      </c>
      <c r="H38" s="166">
        <f>MEAV!H75</f>
        <v>0.35453114426342969</v>
      </c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74"/>
      <c r="AS38" s="73"/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inputs'!E53</f>
        <v>Allocation rules allocation key, by cost category</v>
      </c>
      <c r="F40" s="73"/>
      <c r="G40" s="115" t="str">
        <f>'Fixed inputs'!G54</f>
        <v>option</v>
      </c>
      <c r="H40" s="130"/>
      <c r="I40" s="130"/>
      <c r="J40" s="160"/>
      <c r="K40" s="152" t="str">
        <f>'Fixed inputs'!H55</f>
        <v>MEAV</v>
      </c>
      <c r="L40" s="152" t="str">
        <f>'Fixed inputs'!H56</f>
        <v>MEAV</v>
      </c>
      <c r="M40" s="152" t="str">
        <f>'Fixed inputs'!H57</f>
        <v>MEAV</v>
      </c>
      <c r="N40" s="152" t="str">
        <f>'Fixed inputs'!H58</f>
        <v>MEAV</v>
      </c>
      <c r="O40" s="152" t="str">
        <f>'Fixed inputs'!H59</f>
        <v>MEAV</v>
      </c>
      <c r="P40" s="152" t="str">
        <f>'Fixed inputs'!H60</f>
        <v>MEAV</v>
      </c>
      <c r="Q40" s="152" t="str">
        <f>'Fixed inputs'!H61</f>
        <v>MEAV</v>
      </c>
      <c r="R40" s="152" t="str">
        <f>'Fixed inputs'!H62</f>
        <v>MEAV</v>
      </c>
      <c r="S40" s="152" t="str">
        <f>'Fixed inputs'!H63</f>
        <v>MEAV</v>
      </c>
      <c r="T40" s="152" t="str">
        <f>'Fixed inputs'!H64</f>
        <v>MEAV</v>
      </c>
      <c r="U40" s="152" t="str">
        <f>'Fixed inputs'!H65</f>
        <v>MEAV</v>
      </c>
      <c r="V40" s="152" t="str">
        <f>'Fixed inputs'!H66</f>
        <v>MEAV</v>
      </c>
      <c r="W40" s="152" t="str">
        <f>'Fixed inputs'!H67</f>
        <v>MEAV</v>
      </c>
      <c r="X40" s="152" t="str">
        <f>'Fixed inputs'!H68</f>
        <v>MEAV</v>
      </c>
      <c r="Y40" s="152" t="str">
        <f>'Fixed inputs'!H69</f>
        <v>Do not allocate</v>
      </c>
      <c r="Z40" s="152" t="str">
        <f>'Fixed inputs'!H70</f>
        <v>Do not allocate</v>
      </c>
      <c r="AA40" s="152" t="str">
        <f>'Fixed inputs'!H71</f>
        <v>MEAV</v>
      </c>
      <c r="AB40" s="152" t="str">
        <f>'Fixed inputs'!H72</f>
        <v>MEAV</v>
      </c>
      <c r="AC40" s="152" t="str">
        <f>'Fixed inputs'!H73</f>
        <v>MEAV</v>
      </c>
      <c r="AD40" s="152" t="str">
        <f>'Fixed inputs'!H74</f>
        <v>MEAV</v>
      </c>
      <c r="AE40" s="152" t="str">
        <f>'Fixed inputs'!H75</f>
        <v>Do not allocate</v>
      </c>
      <c r="AF40" s="152" t="str">
        <f>'Fixed inputs'!H76</f>
        <v>Do not allocate</v>
      </c>
      <c r="AG40" s="152" t="str">
        <f>'Fixed inputs'!H77</f>
        <v>Do not allocate</v>
      </c>
      <c r="AH40" s="152" t="str">
        <f>'Fixed inputs'!H78</f>
        <v>Do not allocate</v>
      </c>
      <c r="AI40" s="152" t="str">
        <f>'Fixed inputs'!H79</f>
        <v>Do not allocate</v>
      </c>
      <c r="AJ40" s="152" t="str">
        <f>'Fixed inputs'!H80</f>
        <v>Do not allocate</v>
      </c>
      <c r="AK40" s="152" t="str">
        <f>'Fixed inputs'!H81</f>
        <v>Do not allocate</v>
      </c>
      <c r="AL40" s="152" t="str">
        <f>'Fixed inputs'!H82</f>
        <v>Do not allocate</v>
      </c>
      <c r="AM40" s="152" t="str">
        <f>'Fixed inputs'!H83</f>
        <v>Do not allocate</v>
      </c>
      <c r="AN40" s="152" t="str">
        <f>'Fixed inputs'!H84</f>
        <v>Deduct from revenue</v>
      </c>
      <c r="AO40" s="152" t="str">
        <f>'Fixed inputs'!H85</f>
        <v>Do not allocate</v>
      </c>
      <c r="AP40" s="152" t="str">
        <f>'Fixed inputs'!H86</f>
        <v>LV Services</v>
      </c>
      <c r="AQ40" s="152" t="str">
        <f>'Fixed inputs'!H87</f>
        <v>Do not allocate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15" t="str">
        <f>'Fixed inputs'!E49</f>
        <v>MEAV allocation option name</v>
      </c>
      <c r="F41" s="73"/>
      <c r="G41" s="115" t="str">
        <f>'Fixed inputs'!G55</f>
        <v>option</v>
      </c>
      <c r="H41" s="152" t="str">
        <f>'Fixed inputs'!H49</f>
        <v>MEAV</v>
      </c>
      <c r="I41" s="167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74"/>
      <c r="AS41" s="73"/>
      <c r="AT41" s="42"/>
    </row>
    <row r="42" spans="1:46" x14ac:dyDescent="0.25">
      <c r="A42" s="115"/>
      <c r="B42" s="73"/>
      <c r="C42" s="73"/>
      <c r="D42" s="73"/>
      <c r="E42" s="120" t="s">
        <v>535</v>
      </c>
      <c r="F42" s="101"/>
      <c r="G42" s="115" t="s">
        <v>191</v>
      </c>
      <c r="H42" s="168"/>
      <c r="I42" s="169" t="s">
        <v>314</v>
      </c>
      <c r="J42" s="170">
        <f t="shared" ref="J42:AQ42" si="8">IF($H41 = J40, 1, 0)</f>
        <v>0</v>
      </c>
      <c r="K42" s="170">
        <f t="shared" si="8"/>
        <v>1</v>
      </c>
      <c r="L42" s="170">
        <f t="shared" si="8"/>
        <v>1</v>
      </c>
      <c r="M42" s="170">
        <f t="shared" si="8"/>
        <v>1</v>
      </c>
      <c r="N42" s="170">
        <f t="shared" si="8"/>
        <v>1</v>
      </c>
      <c r="O42" s="170">
        <f t="shared" si="8"/>
        <v>1</v>
      </c>
      <c r="P42" s="170">
        <f t="shared" si="8"/>
        <v>1</v>
      </c>
      <c r="Q42" s="170">
        <f t="shared" si="8"/>
        <v>1</v>
      </c>
      <c r="R42" s="170">
        <f t="shared" si="8"/>
        <v>1</v>
      </c>
      <c r="S42" s="170">
        <f t="shared" si="8"/>
        <v>1</v>
      </c>
      <c r="T42" s="170">
        <f t="shared" si="8"/>
        <v>1</v>
      </c>
      <c r="U42" s="170">
        <f t="shared" si="8"/>
        <v>1</v>
      </c>
      <c r="V42" s="170">
        <f t="shared" si="8"/>
        <v>1</v>
      </c>
      <c r="W42" s="170">
        <f t="shared" si="8"/>
        <v>1</v>
      </c>
      <c r="X42" s="170">
        <f t="shared" si="8"/>
        <v>1</v>
      </c>
      <c r="Y42" s="170">
        <f t="shared" si="8"/>
        <v>0</v>
      </c>
      <c r="Z42" s="170">
        <f t="shared" si="8"/>
        <v>0</v>
      </c>
      <c r="AA42" s="170">
        <f t="shared" si="8"/>
        <v>1</v>
      </c>
      <c r="AB42" s="170">
        <f t="shared" si="8"/>
        <v>1</v>
      </c>
      <c r="AC42" s="170">
        <f t="shared" si="8"/>
        <v>1</v>
      </c>
      <c r="AD42" s="170">
        <f t="shared" si="8"/>
        <v>1</v>
      </c>
      <c r="AE42" s="170">
        <f t="shared" si="8"/>
        <v>0</v>
      </c>
      <c r="AF42" s="170">
        <f t="shared" si="8"/>
        <v>0</v>
      </c>
      <c r="AG42" s="170">
        <f t="shared" si="8"/>
        <v>0</v>
      </c>
      <c r="AH42" s="170">
        <f t="shared" si="8"/>
        <v>0</v>
      </c>
      <c r="AI42" s="170">
        <f t="shared" si="8"/>
        <v>0</v>
      </c>
      <c r="AJ42" s="170">
        <f t="shared" si="8"/>
        <v>0</v>
      </c>
      <c r="AK42" s="170">
        <f t="shared" si="8"/>
        <v>0</v>
      </c>
      <c r="AL42" s="170">
        <f t="shared" si="8"/>
        <v>0</v>
      </c>
      <c r="AM42" s="170">
        <f t="shared" si="8"/>
        <v>0</v>
      </c>
      <c r="AN42" s="170">
        <f t="shared" si="8"/>
        <v>0</v>
      </c>
      <c r="AO42" s="170">
        <f t="shared" si="8"/>
        <v>0</v>
      </c>
      <c r="AP42" s="170">
        <f t="shared" ref="AP42" si="9">IF($H41 = AP40, 1, 0)</f>
        <v>0</v>
      </c>
      <c r="AQ42" s="170">
        <f t="shared" si="8"/>
        <v>0</v>
      </c>
      <c r="AR42" s="74"/>
      <c r="AS42" s="115" t="s">
        <v>519</v>
      </c>
      <c r="AT42" s="42"/>
    </row>
    <row r="43" spans="1:46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3"/>
      <c r="AT43" s="42"/>
    </row>
    <row r="44" spans="1:46" x14ac:dyDescent="0.25">
      <c r="A44" s="115"/>
      <c r="B44" s="73"/>
      <c r="C44" s="73"/>
      <c r="D44" s="73"/>
      <c r="E44" s="112" t="s">
        <v>717</v>
      </c>
      <c r="F44" s="73"/>
      <c r="G44" s="73"/>
      <c r="H44" s="74"/>
      <c r="I44" s="132" t="s">
        <v>314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115" t="s">
        <v>519</v>
      </c>
      <c r="AT44" s="42"/>
    </row>
    <row r="45" spans="1:46" x14ac:dyDescent="0.25">
      <c r="A45" s="73"/>
      <c r="B45" s="73"/>
      <c r="C45" s="73"/>
      <c r="D45" s="73"/>
      <c r="E45" s="73"/>
      <c r="F45" s="113" t="s">
        <v>193</v>
      </c>
      <c r="G45" s="113" t="str">
        <f>G$19</f>
        <v>£ per year</v>
      </c>
      <c r="H45" s="145"/>
      <c r="I45" s="145"/>
      <c r="J45" s="163">
        <f>$H38 * J$31 * J42</f>
        <v>0</v>
      </c>
      <c r="K45" s="163">
        <f t="shared" ref="K45:AQ45" si="10">$H38 * K$31 * K42</f>
        <v>4254373.7311611567</v>
      </c>
      <c r="L45" s="163">
        <f t="shared" si="10"/>
        <v>0</v>
      </c>
      <c r="M45" s="163">
        <f t="shared" si="10"/>
        <v>3013514.7262391518</v>
      </c>
      <c r="N45" s="163">
        <f t="shared" si="10"/>
        <v>425437.37311611563</v>
      </c>
      <c r="O45" s="163">
        <f t="shared" si="10"/>
        <v>991239.44344576146</v>
      </c>
      <c r="P45" s="163">
        <f t="shared" si="10"/>
        <v>0</v>
      </c>
      <c r="Q45" s="163">
        <f t="shared" si="10"/>
        <v>0</v>
      </c>
      <c r="R45" s="163">
        <f t="shared" si="10"/>
        <v>0</v>
      </c>
      <c r="S45" s="163">
        <f t="shared" si="10"/>
        <v>0</v>
      </c>
      <c r="T45" s="163">
        <f t="shared" si="10"/>
        <v>0</v>
      </c>
      <c r="U45" s="163">
        <f t="shared" si="10"/>
        <v>0</v>
      </c>
      <c r="V45" s="163">
        <f t="shared" si="10"/>
        <v>0</v>
      </c>
      <c r="W45" s="163">
        <f t="shared" si="10"/>
        <v>0</v>
      </c>
      <c r="X45" s="163">
        <f t="shared" si="10"/>
        <v>0</v>
      </c>
      <c r="Y45" s="163">
        <f t="shared" si="10"/>
        <v>0</v>
      </c>
      <c r="Z45" s="163">
        <f t="shared" si="10"/>
        <v>0</v>
      </c>
      <c r="AA45" s="163">
        <f t="shared" si="10"/>
        <v>0</v>
      </c>
      <c r="AB45" s="163">
        <f t="shared" si="10"/>
        <v>0</v>
      </c>
      <c r="AC45" s="163">
        <f t="shared" si="10"/>
        <v>0</v>
      </c>
      <c r="AD45" s="163">
        <f t="shared" si="10"/>
        <v>0</v>
      </c>
      <c r="AE45" s="163">
        <f t="shared" si="10"/>
        <v>0</v>
      </c>
      <c r="AF45" s="163">
        <f t="shared" si="10"/>
        <v>0</v>
      </c>
      <c r="AG45" s="163">
        <f t="shared" si="10"/>
        <v>0</v>
      </c>
      <c r="AH45" s="163">
        <f t="shared" si="10"/>
        <v>0</v>
      </c>
      <c r="AI45" s="163">
        <f t="shared" si="10"/>
        <v>0</v>
      </c>
      <c r="AJ45" s="163">
        <f t="shared" si="10"/>
        <v>0</v>
      </c>
      <c r="AK45" s="163">
        <f t="shared" si="10"/>
        <v>0</v>
      </c>
      <c r="AL45" s="163">
        <f t="shared" si="10"/>
        <v>0</v>
      </c>
      <c r="AM45" s="163">
        <f t="shared" si="10"/>
        <v>0</v>
      </c>
      <c r="AN45" s="163">
        <f t="shared" si="10"/>
        <v>0</v>
      </c>
      <c r="AO45" s="163">
        <f t="shared" si="10"/>
        <v>0</v>
      </c>
      <c r="AP45" s="163">
        <f t="shared" ref="AP45" si="11">$H38 * AP$31 * AP42</f>
        <v>0</v>
      </c>
      <c r="AQ45" s="163">
        <f t="shared" si="10"/>
        <v>0</v>
      </c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194</v>
      </c>
      <c r="G46" s="115" t="str">
        <f>G$19</f>
        <v>£ per year</v>
      </c>
      <c r="H46" s="130"/>
      <c r="I46" s="130"/>
      <c r="J46" s="171">
        <f>J$31 - J45</f>
        <v>890000.00000000058</v>
      </c>
      <c r="K46" s="171">
        <f t="shared" ref="K46:AQ46" si="12">K$31 - K45</f>
        <v>7745626.2688388433</v>
      </c>
      <c r="L46" s="171">
        <f t="shared" si="12"/>
        <v>0</v>
      </c>
      <c r="M46" s="171">
        <f t="shared" si="12"/>
        <v>5486485.2737608459</v>
      </c>
      <c r="N46" s="171">
        <f t="shared" si="12"/>
        <v>774562.62688388443</v>
      </c>
      <c r="O46" s="171">
        <f t="shared" si="12"/>
        <v>1804676.9647026693</v>
      </c>
      <c r="P46" s="171">
        <f t="shared" si="12"/>
        <v>0</v>
      </c>
      <c r="Q46" s="171">
        <f t="shared" si="12"/>
        <v>0</v>
      </c>
      <c r="R46" s="171">
        <f t="shared" si="12"/>
        <v>0</v>
      </c>
      <c r="S46" s="171">
        <f t="shared" si="12"/>
        <v>0</v>
      </c>
      <c r="T46" s="171">
        <f t="shared" si="12"/>
        <v>0</v>
      </c>
      <c r="U46" s="171">
        <f t="shared" si="12"/>
        <v>0</v>
      </c>
      <c r="V46" s="171">
        <f t="shared" si="12"/>
        <v>0</v>
      </c>
      <c r="W46" s="171">
        <f t="shared" si="12"/>
        <v>0</v>
      </c>
      <c r="X46" s="171">
        <f t="shared" si="12"/>
        <v>0</v>
      </c>
      <c r="Y46" s="171">
        <f t="shared" si="12"/>
        <v>0</v>
      </c>
      <c r="Z46" s="171">
        <f t="shared" si="12"/>
        <v>0</v>
      </c>
      <c r="AA46" s="171">
        <f t="shared" si="12"/>
        <v>0</v>
      </c>
      <c r="AB46" s="171">
        <f t="shared" si="12"/>
        <v>0</v>
      </c>
      <c r="AC46" s="171">
        <f t="shared" si="12"/>
        <v>0</v>
      </c>
      <c r="AD46" s="171">
        <f t="shared" si="12"/>
        <v>0</v>
      </c>
      <c r="AE46" s="171">
        <f t="shared" si="12"/>
        <v>0</v>
      </c>
      <c r="AF46" s="171">
        <f t="shared" si="12"/>
        <v>0</v>
      </c>
      <c r="AG46" s="171">
        <f t="shared" si="12"/>
        <v>0</v>
      </c>
      <c r="AH46" s="171">
        <f t="shared" si="12"/>
        <v>0</v>
      </c>
      <c r="AI46" s="171">
        <f t="shared" si="12"/>
        <v>0</v>
      </c>
      <c r="AJ46" s="171">
        <f t="shared" si="12"/>
        <v>0</v>
      </c>
      <c r="AK46" s="171">
        <f t="shared" si="12"/>
        <v>0</v>
      </c>
      <c r="AL46" s="171">
        <f t="shared" si="12"/>
        <v>0</v>
      </c>
      <c r="AM46" s="171">
        <f t="shared" si="12"/>
        <v>0</v>
      </c>
      <c r="AN46" s="171">
        <f t="shared" si="12"/>
        <v>0</v>
      </c>
      <c r="AO46" s="171">
        <f t="shared" si="12"/>
        <v>0</v>
      </c>
      <c r="AP46" s="171">
        <f t="shared" ref="AP46" si="13">AP$31 - AP45</f>
        <v>0</v>
      </c>
      <c r="AQ46" s="171">
        <f t="shared" si="12"/>
        <v>0</v>
      </c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5" t="s">
        <v>41</v>
      </c>
      <c r="G47" s="115" t="str">
        <f>G$19</f>
        <v>£ per year</v>
      </c>
      <c r="H47" s="130"/>
      <c r="I47" s="130"/>
      <c r="J47" s="164">
        <f t="shared" ref="J47:AQ47" si="14">J32</f>
        <v>0</v>
      </c>
      <c r="K47" s="164">
        <f t="shared" si="14"/>
        <v>5000000</v>
      </c>
      <c r="L47" s="164">
        <f t="shared" si="14"/>
        <v>0</v>
      </c>
      <c r="M47" s="164">
        <f t="shared" si="14"/>
        <v>400000</v>
      </c>
      <c r="N47" s="164">
        <f t="shared" si="14"/>
        <v>2700000</v>
      </c>
      <c r="O47" s="164">
        <f t="shared" si="14"/>
        <v>0</v>
      </c>
      <c r="P47" s="164">
        <f t="shared" si="14"/>
        <v>0</v>
      </c>
      <c r="Q47" s="164">
        <f t="shared" si="14"/>
        <v>0</v>
      </c>
      <c r="R47" s="164">
        <f t="shared" si="14"/>
        <v>0</v>
      </c>
      <c r="S47" s="164">
        <f t="shared" si="14"/>
        <v>0</v>
      </c>
      <c r="T47" s="164">
        <f t="shared" si="14"/>
        <v>0</v>
      </c>
      <c r="U47" s="164">
        <f t="shared" si="14"/>
        <v>0</v>
      </c>
      <c r="V47" s="164">
        <f t="shared" si="14"/>
        <v>0</v>
      </c>
      <c r="W47" s="164">
        <f t="shared" si="14"/>
        <v>0</v>
      </c>
      <c r="X47" s="164">
        <f t="shared" si="14"/>
        <v>0</v>
      </c>
      <c r="Y47" s="164">
        <f t="shared" si="14"/>
        <v>0</v>
      </c>
      <c r="Z47" s="164">
        <f t="shared" si="14"/>
        <v>0</v>
      </c>
      <c r="AA47" s="164">
        <f t="shared" si="14"/>
        <v>0</v>
      </c>
      <c r="AB47" s="164">
        <f t="shared" si="14"/>
        <v>0</v>
      </c>
      <c r="AC47" s="164">
        <f t="shared" si="14"/>
        <v>0</v>
      </c>
      <c r="AD47" s="164">
        <f t="shared" si="14"/>
        <v>0</v>
      </c>
      <c r="AE47" s="164">
        <f t="shared" si="14"/>
        <v>0</v>
      </c>
      <c r="AF47" s="164">
        <f t="shared" si="14"/>
        <v>0</v>
      </c>
      <c r="AG47" s="164">
        <f t="shared" si="14"/>
        <v>0</v>
      </c>
      <c r="AH47" s="164">
        <f t="shared" si="14"/>
        <v>0</v>
      </c>
      <c r="AI47" s="164">
        <f t="shared" si="14"/>
        <v>0</v>
      </c>
      <c r="AJ47" s="164">
        <f t="shared" si="14"/>
        <v>0</v>
      </c>
      <c r="AK47" s="164">
        <f t="shared" si="14"/>
        <v>0</v>
      </c>
      <c r="AL47" s="164">
        <f t="shared" si="14"/>
        <v>0</v>
      </c>
      <c r="AM47" s="164">
        <f t="shared" si="14"/>
        <v>0</v>
      </c>
      <c r="AN47" s="164">
        <f t="shared" si="14"/>
        <v>0</v>
      </c>
      <c r="AO47" s="164">
        <f t="shared" si="14"/>
        <v>0</v>
      </c>
      <c r="AP47" s="164">
        <f t="shared" ref="AP47" si="15">AP32</f>
        <v>0</v>
      </c>
      <c r="AQ47" s="164">
        <f t="shared" si="14"/>
        <v>0</v>
      </c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115" t="s">
        <v>40</v>
      </c>
      <c r="G48" s="115" t="str">
        <f>G$19</f>
        <v>£ per year</v>
      </c>
      <c r="H48" s="130"/>
      <c r="I48" s="130"/>
      <c r="J48" s="164">
        <f t="shared" ref="J48:AQ48" si="16">J33</f>
        <v>1160000.0000000002</v>
      </c>
      <c r="K48" s="164">
        <f t="shared" si="16"/>
        <v>14899999.999999998</v>
      </c>
      <c r="L48" s="164">
        <f t="shared" si="16"/>
        <v>0</v>
      </c>
      <c r="M48" s="164">
        <f t="shared" si="16"/>
        <v>2500000</v>
      </c>
      <c r="N48" s="164">
        <f t="shared" si="16"/>
        <v>800000</v>
      </c>
      <c r="O48" s="164">
        <f t="shared" si="16"/>
        <v>2119896.1128685074</v>
      </c>
      <c r="P48" s="164">
        <f t="shared" si="16"/>
        <v>0</v>
      </c>
      <c r="Q48" s="164">
        <f t="shared" si="16"/>
        <v>0</v>
      </c>
      <c r="R48" s="164">
        <f t="shared" si="16"/>
        <v>0</v>
      </c>
      <c r="S48" s="164">
        <f t="shared" si="16"/>
        <v>0</v>
      </c>
      <c r="T48" s="164">
        <f t="shared" si="16"/>
        <v>0</v>
      </c>
      <c r="U48" s="164">
        <f t="shared" si="16"/>
        <v>0</v>
      </c>
      <c r="V48" s="164">
        <f t="shared" si="16"/>
        <v>0</v>
      </c>
      <c r="W48" s="164">
        <f t="shared" si="16"/>
        <v>0</v>
      </c>
      <c r="X48" s="164">
        <f t="shared" si="16"/>
        <v>0</v>
      </c>
      <c r="Y48" s="164">
        <f t="shared" si="16"/>
        <v>0</v>
      </c>
      <c r="Z48" s="164">
        <f t="shared" si="16"/>
        <v>0</v>
      </c>
      <c r="AA48" s="164">
        <f t="shared" si="16"/>
        <v>0</v>
      </c>
      <c r="AB48" s="164">
        <f t="shared" si="16"/>
        <v>0</v>
      </c>
      <c r="AC48" s="164">
        <f t="shared" si="16"/>
        <v>0</v>
      </c>
      <c r="AD48" s="164">
        <f t="shared" si="16"/>
        <v>0</v>
      </c>
      <c r="AE48" s="164">
        <f t="shared" si="16"/>
        <v>0</v>
      </c>
      <c r="AF48" s="164">
        <f t="shared" si="16"/>
        <v>0</v>
      </c>
      <c r="AG48" s="164">
        <f t="shared" si="16"/>
        <v>0</v>
      </c>
      <c r="AH48" s="164">
        <f t="shared" si="16"/>
        <v>0</v>
      </c>
      <c r="AI48" s="164">
        <f t="shared" si="16"/>
        <v>0</v>
      </c>
      <c r="AJ48" s="164">
        <f t="shared" si="16"/>
        <v>0</v>
      </c>
      <c r="AK48" s="164">
        <f t="shared" si="16"/>
        <v>0</v>
      </c>
      <c r="AL48" s="164">
        <f t="shared" si="16"/>
        <v>0</v>
      </c>
      <c r="AM48" s="164">
        <f t="shared" si="16"/>
        <v>0</v>
      </c>
      <c r="AN48" s="164">
        <f t="shared" si="16"/>
        <v>0</v>
      </c>
      <c r="AO48" s="164">
        <f t="shared" si="16"/>
        <v>0</v>
      </c>
      <c r="AP48" s="164">
        <f t="shared" ref="AP48" si="17">AP33</f>
        <v>0</v>
      </c>
      <c r="AQ48" s="164">
        <f t="shared" si="16"/>
        <v>0</v>
      </c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7" t="s">
        <v>166</v>
      </c>
      <c r="G49" s="117" t="str">
        <f>G$19</f>
        <v>£ per year</v>
      </c>
      <c r="H49" s="146"/>
      <c r="I49" s="147"/>
      <c r="J49" s="165">
        <f t="shared" ref="J49:AQ49" si="18">J34</f>
        <v>4900000</v>
      </c>
      <c r="K49" s="165">
        <f t="shared" si="18"/>
        <v>13300000.000000002</v>
      </c>
      <c r="L49" s="165">
        <f t="shared" si="18"/>
        <v>0</v>
      </c>
      <c r="M49" s="165">
        <f t="shared" si="18"/>
        <v>1000000</v>
      </c>
      <c r="N49" s="165">
        <f t="shared" si="18"/>
        <v>2100000</v>
      </c>
      <c r="O49" s="165">
        <f t="shared" si="18"/>
        <v>393330.13347943331</v>
      </c>
      <c r="P49" s="165">
        <f t="shared" si="18"/>
        <v>0</v>
      </c>
      <c r="Q49" s="165">
        <f t="shared" si="18"/>
        <v>0</v>
      </c>
      <c r="R49" s="165">
        <f t="shared" si="18"/>
        <v>0</v>
      </c>
      <c r="S49" s="165">
        <f t="shared" si="18"/>
        <v>0</v>
      </c>
      <c r="T49" s="165">
        <f t="shared" si="18"/>
        <v>0</v>
      </c>
      <c r="U49" s="165">
        <f t="shared" si="18"/>
        <v>0</v>
      </c>
      <c r="V49" s="165">
        <f t="shared" si="18"/>
        <v>0</v>
      </c>
      <c r="W49" s="165">
        <f t="shared" si="18"/>
        <v>0</v>
      </c>
      <c r="X49" s="165">
        <f t="shared" si="18"/>
        <v>0</v>
      </c>
      <c r="Y49" s="165">
        <f t="shared" si="18"/>
        <v>0</v>
      </c>
      <c r="Z49" s="165">
        <f t="shared" si="18"/>
        <v>0</v>
      </c>
      <c r="AA49" s="165">
        <f t="shared" si="18"/>
        <v>0</v>
      </c>
      <c r="AB49" s="165">
        <f t="shared" si="18"/>
        <v>0</v>
      </c>
      <c r="AC49" s="165">
        <f t="shared" si="18"/>
        <v>0</v>
      </c>
      <c r="AD49" s="165">
        <f t="shared" si="18"/>
        <v>0</v>
      </c>
      <c r="AE49" s="165">
        <f t="shared" si="18"/>
        <v>0</v>
      </c>
      <c r="AF49" s="165">
        <f t="shared" si="18"/>
        <v>0</v>
      </c>
      <c r="AG49" s="165">
        <f t="shared" si="18"/>
        <v>0</v>
      </c>
      <c r="AH49" s="165">
        <f t="shared" si="18"/>
        <v>0</v>
      </c>
      <c r="AI49" s="165">
        <f t="shared" si="18"/>
        <v>0</v>
      </c>
      <c r="AJ49" s="165">
        <f t="shared" si="18"/>
        <v>0</v>
      </c>
      <c r="AK49" s="165">
        <f t="shared" si="18"/>
        <v>0</v>
      </c>
      <c r="AL49" s="165">
        <f t="shared" si="18"/>
        <v>0</v>
      </c>
      <c r="AM49" s="165">
        <f t="shared" si="18"/>
        <v>0</v>
      </c>
      <c r="AN49" s="165">
        <f t="shared" si="18"/>
        <v>0</v>
      </c>
      <c r="AO49" s="165">
        <f t="shared" si="18"/>
        <v>0</v>
      </c>
      <c r="AP49" s="165">
        <f t="shared" ref="AP49" si="19">AP34</f>
        <v>0</v>
      </c>
      <c r="AQ49" s="165">
        <f t="shared" si="18"/>
        <v>0</v>
      </c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3"/>
      <c r="AT50" s="42"/>
    </row>
    <row r="51" spans="1:46" x14ac:dyDescent="0.25">
      <c r="A51" s="73"/>
      <c r="B51" s="73"/>
      <c r="C51" s="73"/>
      <c r="D51" s="73"/>
      <c r="E51" s="115" t="s">
        <v>246</v>
      </c>
      <c r="F51" s="73"/>
      <c r="G51" s="115" t="s">
        <v>438</v>
      </c>
      <c r="H51" s="130"/>
      <c r="I51" s="130"/>
      <c r="J51" s="130">
        <f t="shared" ref="J51:AQ51" si="20">SUM(J45:J49)</f>
        <v>6950000.0000000009</v>
      </c>
      <c r="K51" s="130">
        <f t="shared" si="20"/>
        <v>45200000</v>
      </c>
      <c r="L51" s="130">
        <f t="shared" si="20"/>
        <v>0</v>
      </c>
      <c r="M51" s="130">
        <f t="shared" si="20"/>
        <v>12399999.999999998</v>
      </c>
      <c r="N51" s="130">
        <f t="shared" si="20"/>
        <v>6800000</v>
      </c>
      <c r="O51" s="130">
        <f t="shared" si="20"/>
        <v>5309142.6544963717</v>
      </c>
      <c r="P51" s="130">
        <f t="shared" si="20"/>
        <v>0</v>
      </c>
      <c r="Q51" s="130">
        <f t="shared" si="20"/>
        <v>0</v>
      </c>
      <c r="R51" s="130">
        <f t="shared" si="20"/>
        <v>0</v>
      </c>
      <c r="S51" s="130">
        <f t="shared" si="20"/>
        <v>0</v>
      </c>
      <c r="T51" s="130">
        <f t="shared" si="20"/>
        <v>0</v>
      </c>
      <c r="U51" s="130">
        <f t="shared" si="20"/>
        <v>0</v>
      </c>
      <c r="V51" s="130">
        <f t="shared" si="20"/>
        <v>0</v>
      </c>
      <c r="W51" s="130">
        <f t="shared" si="20"/>
        <v>0</v>
      </c>
      <c r="X51" s="130">
        <f t="shared" si="20"/>
        <v>0</v>
      </c>
      <c r="Y51" s="130">
        <f t="shared" si="20"/>
        <v>0</v>
      </c>
      <c r="Z51" s="130">
        <f t="shared" si="20"/>
        <v>0</v>
      </c>
      <c r="AA51" s="130">
        <f t="shared" si="20"/>
        <v>0</v>
      </c>
      <c r="AB51" s="130">
        <f t="shared" si="20"/>
        <v>0</v>
      </c>
      <c r="AC51" s="130">
        <f t="shared" si="20"/>
        <v>0</v>
      </c>
      <c r="AD51" s="130">
        <f t="shared" si="20"/>
        <v>0</v>
      </c>
      <c r="AE51" s="130">
        <f t="shared" si="20"/>
        <v>0</v>
      </c>
      <c r="AF51" s="130">
        <f t="shared" si="20"/>
        <v>0</v>
      </c>
      <c r="AG51" s="130">
        <f t="shared" si="20"/>
        <v>0</v>
      </c>
      <c r="AH51" s="130">
        <f t="shared" si="20"/>
        <v>0</v>
      </c>
      <c r="AI51" s="130">
        <f t="shared" si="20"/>
        <v>0</v>
      </c>
      <c r="AJ51" s="130">
        <f t="shared" si="20"/>
        <v>0</v>
      </c>
      <c r="AK51" s="130">
        <f t="shared" si="20"/>
        <v>0</v>
      </c>
      <c r="AL51" s="130">
        <f t="shared" si="20"/>
        <v>0</v>
      </c>
      <c r="AM51" s="130">
        <f t="shared" si="20"/>
        <v>0</v>
      </c>
      <c r="AN51" s="130">
        <f t="shared" si="20"/>
        <v>0</v>
      </c>
      <c r="AO51" s="130">
        <f t="shared" si="20"/>
        <v>0</v>
      </c>
      <c r="AP51" s="130">
        <f t="shared" ref="AP51" si="21">SUM(AP45:AP49)</f>
        <v>0</v>
      </c>
      <c r="AQ51" s="130">
        <f t="shared" si="20"/>
        <v>0</v>
      </c>
      <c r="AR51" s="74"/>
      <c r="AS51" s="73"/>
      <c r="AT51" s="42"/>
    </row>
    <row r="52" spans="1:46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107" t="s">
        <v>247</v>
      </c>
      <c r="C53" s="107"/>
      <c r="D53" s="107"/>
      <c r="E53" s="107"/>
      <c r="F53" s="107"/>
      <c r="G53" s="107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7"/>
      <c r="AT53" s="42"/>
    </row>
    <row r="54" spans="1:46" x14ac:dyDescent="0.25">
      <c r="A54" s="73"/>
      <c r="B54" s="73"/>
      <c r="C54" s="73"/>
      <c r="D54" s="73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109" t="s">
        <v>502</v>
      </c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73"/>
      <c r="B56" s="73"/>
      <c r="C56" s="109" t="s">
        <v>503</v>
      </c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3"/>
      <c r="AT56" s="42"/>
    </row>
    <row r="57" spans="1:46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3"/>
      <c r="AT57" s="42"/>
    </row>
    <row r="58" spans="1:46" x14ac:dyDescent="0.25">
      <c r="A58" s="73"/>
      <c r="B58" s="101"/>
      <c r="C58" s="110" t="s">
        <v>638</v>
      </c>
      <c r="D58" s="110"/>
      <c r="E58" s="110"/>
      <c r="F58" s="110"/>
      <c r="G58" s="110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0"/>
      <c r="AT58" s="42"/>
    </row>
    <row r="59" spans="1:46" x14ac:dyDescent="0.25">
      <c r="A59" s="73"/>
      <c r="B59" s="73"/>
      <c r="C59" s="109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73"/>
      <c r="C60" s="73"/>
      <c r="D60" s="109"/>
      <c r="E60" s="115" t="str">
        <f>'DNO inputs'!E243</f>
        <v>2007/08 RRP expenditure, by cost category</v>
      </c>
      <c r="F60" s="73"/>
      <c r="G60" s="115" t="str">
        <f>'DNO inputs'!G244</f>
        <v>£ per year</v>
      </c>
      <c r="H60" s="130"/>
      <c r="I60" s="130"/>
      <c r="J60" s="152">
        <f>'DNO inputs'!H244</f>
        <v>0</v>
      </c>
      <c r="K60" s="152">
        <f>'DNO inputs'!H245</f>
        <v>44500000.000000007</v>
      </c>
      <c r="L60" s="152">
        <f>'DNO inputs'!H246</f>
        <v>14900000</v>
      </c>
      <c r="M60" s="152">
        <f>'DNO inputs'!H247</f>
        <v>13500000</v>
      </c>
      <c r="N60" s="152">
        <f>'DNO inputs'!H248</f>
        <v>7000000.0000000019</v>
      </c>
      <c r="O60" s="152">
        <f>'DNO inputs'!H249</f>
        <v>5300000.0000000009</v>
      </c>
      <c r="P60" s="152">
        <f>'DNO inputs'!H250</f>
        <v>600000</v>
      </c>
      <c r="Q60" s="152">
        <f>'DNO inputs'!H251</f>
        <v>4500000</v>
      </c>
      <c r="R60" s="152">
        <f>'DNO inputs'!H252</f>
        <v>4899999.9999999991</v>
      </c>
      <c r="S60" s="152">
        <f>'DNO inputs'!H253</f>
        <v>9600000.0000000019</v>
      </c>
      <c r="T60" s="152">
        <f>'DNO inputs'!H254</f>
        <v>1900000</v>
      </c>
      <c r="U60" s="152">
        <f>'DNO inputs'!H255</f>
        <v>1000000</v>
      </c>
      <c r="V60" s="152">
        <f>'DNO inputs'!H256</f>
        <v>700000</v>
      </c>
      <c r="W60" s="152">
        <f>'DNO inputs'!H257</f>
        <v>1200000</v>
      </c>
      <c r="X60" s="152">
        <f>'DNO inputs'!H258</f>
        <v>4200000</v>
      </c>
      <c r="Y60" s="152">
        <f>'DNO inputs'!H259</f>
        <v>6900000</v>
      </c>
      <c r="Z60" s="152">
        <f>'DNO inputs'!H260</f>
        <v>3000000</v>
      </c>
      <c r="AA60" s="152">
        <f>'DNO inputs'!H261</f>
        <v>899999.99999999988</v>
      </c>
      <c r="AB60" s="152">
        <f>'DNO inputs'!H262</f>
        <v>1200000</v>
      </c>
      <c r="AC60" s="152">
        <f>'DNO inputs'!H263</f>
        <v>5899999.9999999991</v>
      </c>
      <c r="AD60" s="152">
        <f>'DNO inputs'!H264</f>
        <v>1600000</v>
      </c>
      <c r="AE60" s="152">
        <f>'DNO inputs'!H265</f>
        <v>7300000.0000000009</v>
      </c>
      <c r="AF60" s="152">
        <f>'DNO inputs'!H266</f>
        <v>20500000</v>
      </c>
      <c r="AG60" s="152">
        <f>'DNO inputs'!H267</f>
        <v>5800000.0000000009</v>
      </c>
      <c r="AH60" s="152">
        <f>'DNO inputs'!H268</f>
        <v>25200000</v>
      </c>
      <c r="AI60" s="152">
        <f>'DNO inputs'!H269</f>
        <v>300000</v>
      </c>
      <c r="AJ60" s="152">
        <f>'DNO inputs'!H270</f>
        <v>100000</v>
      </c>
      <c r="AK60" s="152">
        <f>'DNO inputs'!H271</f>
        <v>1099999.9999999998</v>
      </c>
      <c r="AL60" s="152">
        <f>'DNO inputs'!H272</f>
        <v>34000000</v>
      </c>
      <c r="AM60" s="152">
        <f>'DNO inputs'!H273</f>
        <v>18017120.399999999</v>
      </c>
      <c r="AN60" s="152">
        <f>'DNO inputs'!H274</f>
        <v>5167573.9700000007</v>
      </c>
      <c r="AO60" s="152">
        <f>'DNO inputs'!H275</f>
        <v>0</v>
      </c>
      <c r="AP60" s="152">
        <f>'DNO inputs'!H276</f>
        <v>719996</v>
      </c>
      <c r="AQ60" s="152">
        <f>'DNO inputs'!H277</f>
        <v>-11484694.370000085</v>
      </c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115"/>
      <c r="B62" s="73"/>
      <c r="C62" s="73"/>
      <c r="D62" s="73"/>
      <c r="E62" s="115" t="s">
        <v>248</v>
      </c>
      <c r="F62" s="73"/>
      <c r="G62" s="115" t="str">
        <f>G$19</f>
        <v>£ per year</v>
      </c>
      <c r="H62" s="130"/>
      <c r="I62" s="143" t="s">
        <v>314</v>
      </c>
      <c r="J62" s="130">
        <f>J60 - J51</f>
        <v>-6950000.0000000009</v>
      </c>
      <c r="K62" s="130">
        <f t="shared" ref="K62:AQ62" si="22">K60 - K51</f>
        <v>-699999.99999999255</v>
      </c>
      <c r="L62" s="130">
        <f t="shared" si="22"/>
        <v>14900000</v>
      </c>
      <c r="M62" s="130">
        <f t="shared" si="22"/>
        <v>1100000.0000000019</v>
      </c>
      <c r="N62" s="130">
        <f t="shared" si="22"/>
        <v>200000.00000000186</v>
      </c>
      <c r="O62" s="130">
        <f t="shared" si="22"/>
        <v>-9142.6544963708147</v>
      </c>
      <c r="P62" s="130">
        <f t="shared" si="22"/>
        <v>600000</v>
      </c>
      <c r="Q62" s="130">
        <f t="shared" si="22"/>
        <v>4500000</v>
      </c>
      <c r="R62" s="130">
        <f t="shared" si="22"/>
        <v>4899999.9999999991</v>
      </c>
      <c r="S62" s="130">
        <f t="shared" si="22"/>
        <v>9600000.0000000019</v>
      </c>
      <c r="T62" s="130">
        <f t="shared" si="22"/>
        <v>1900000</v>
      </c>
      <c r="U62" s="130">
        <f t="shared" si="22"/>
        <v>1000000</v>
      </c>
      <c r="V62" s="130">
        <f t="shared" si="22"/>
        <v>700000</v>
      </c>
      <c r="W62" s="130">
        <f t="shared" si="22"/>
        <v>1200000</v>
      </c>
      <c r="X62" s="130">
        <f t="shared" si="22"/>
        <v>4200000</v>
      </c>
      <c r="Y62" s="130">
        <f t="shared" si="22"/>
        <v>6900000</v>
      </c>
      <c r="Z62" s="130">
        <f t="shared" si="22"/>
        <v>3000000</v>
      </c>
      <c r="AA62" s="130">
        <f t="shared" si="22"/>
        <v>899999.99999999988</v>
      </c>
      <c r="AB62" s="130">
        <f t="shared" si="22"/>
        <v>1200000</v>
      </c>
      <c r="AC62" s="130">
        <f t="shared" si="22"/>
        <v>5899999.9999999991</v>
      </c>
      <c r="AD62" s="130">
        <f t="shared" si="22"/>
        <v>1600000</v>
      </c>
      <c r="AE62" s="130">
        <f t="shared" si="22"/>
        <v>7300000.0000000009</v>
      </c>
      <c r="AF62" s="130">
        <f t="shared" si="22"/>
        <v>20500000</v>
      </c>
      <c r="AG62" s="130">
        <f t="shared" si="22"/>
        <v>5800000.0000000009</v>
      </c>
      <c r="AH62" s="130">
        <f t="shared" si="22"/>
        <v>25200000</v>
      </c>
      <c r="AI62" s="130">
        <f t="shared" si="22"/>
        <v>300000</v>
      </c>
      <c r="AJ62" s="130">
        <f t="shared" si="22"/>
        <v>100000</v>
      </c>
      <c r="AK62" s="130">
        <f t="shared" si="22"/>
        <v>1099999.9999999998</v>
      </c>
      <c r="AL62" s="130">
        <f t="shared" si="22"/>
        <v>34000000</v>
      </c>
      <c r="AM62" s="130">
        <f t="shared" si="22"/>
        <v>18017120.399999999</v>
      </c>
      <c r="AN62" s="130">
        <f t="shared" si="22"/>
        <v>5167573.9700000007</v>
      </c>
      <c r="AO62" s="130">
        <f t="shared" si="22"/>
        <v>0</v>
      </c>
      <c r="AP62" s="130">
        <f t="shared" ref="AP62" si="23">AP60 - AP51</f>
        <v>719996</v>
      </c>
      <c r="AQ62" s="130">
        <f t="shared" si="22"/>
        <v>-11484694.370000085</v>
      </c>
      <c r="AR62" s="74"/>
      <c r="AS62" s="115" t="s">
        <v>570</v>
      </c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73"/>
      <c r="C64" s="73"/>
      <c r="D64" s="73"/>
      <c r="E64" s="115" t="str">
        <f>'Fixed inputs'!E53</f>
        <v>Allocation rules allocation key, by cost category</v>
      </c>
      <c r="F64" s="73"/>
      <c r="G64" s="115" t="str">
        <f>'Fixed inputs'!G54</f>
        <v>option</v>
      </c>
      <c r="H64" s="130"/>
      <c r="I64" s="130"/>
      <c r="J64" s="160"/>
      <c r="K64" s="152" t="str">
        <f>'Fixed inputs'!H55</f>
        <v>MEAV</v>
      </c>
      <c r="L64" s="152" t="str">
        <f>'Fixed inputs'!H56</f>
        <v>MEAV</v>
      </c>
      <c r="M64" s="152" t="str">
        <f>'Fixed inputs'!H57</f>
        <v>MEAV</v>
      </c>
      <c r="N64" s="152" t="str">
        <f>'Fixed inputs'!H58</f>
        <v>MEAV</v>
      </c>
      <c r="O64" s="152" t="str">
        <f>'Fixed inputs'!H59</f>
        <v>MEAV</v>
      </c>
      <c r="P64" s="152" t="str">
        <f>'Fixed inputs'!H60</f>
        <v>MEAV</v>
      </c>
      <c r="Q64" s="152" t="str">
        <f>'Fixed inputs'!H61</f>
        <v>MEAV</v>
      </c>
      <c r="R64" s="152" t="str">
        <f>'Fixed inputs'!H62</f>
        <v>MEAV</v>
      </c>
      <c r="S64" s="152" t="str">
        <f>'Fixed inputs'!H63</f>
        <v>MEAV</v>
      </c>
      <c r="T64" s="152" t="str">
        <f>'Fixed inputs'!H64</f>
        <v>MEAV</v>
      </c>
      <c r="U64" s="152" t="str">
        <f>'Fixed inputs'!H65</f>
        <v>MEAV</v>
      </c>
      <c r="V64" s="152" t="str">
        <f>'Fixed inputs'!H66</f>
        <v>MEAV</v>
      </c>
      <c r="W64" s="152" t="str">
        <f>'Fixed inputs'!H67</f>
        <v>MEAV</v>
      </c>
      <c r="X64" s="152" t="str">
        <f>'Fixed inputs'!H68</f>
        <v>MEAV</v>
      </c>
      <c r="Y64" s="152" t="str">
        <f>'Fixed inputs'!H69</f>
        <v>Do not allocate</v>
      </c>
      <c r="Z64" s="152" t="str">
        <f>'Fixed inputs'!H70</f>
        <v>Do not allocate</v>
      </c>
      <c r="AA64" s="152" t="str">
        <f>'Fixed inputs'!H71</f>
        <v>MEAV</v>
      </c>
      <c r="AB64" s="152" t="str">
        <f>'Fixed inputs'!H72</f>
        <v>MEAV</v>
      </c>
      <c r="AC64" s="152" t="str">
        <f>'Fixed inputs'!H73</f>
        <v>MEAV</v>
      </c>
      <c r="AD64" s="152" t="str">
        <f>'Fixed inputs'!H74</f>
        <v>MEAV</v>
      </c>
      <c r="AE64" s="152" t="str">
        <f>'Fixed inputs'!H75</f>
        <v>Do not allocate</v>
      </c>
      <c r="AF64" s="152" t="str">
        <f>'Fixed inputs'!H76</f>
        <v>Do not allocate</v>
      </c>
      <c r="AG64" s="152" t="str">
        <f>'Fixed inputs'!H77</f>
        <v>Do not allocate</v>
      </c>
      <c r="AH64" s="152" t="str">
        <f>'Fixed inputs'!H78</f>
        <v>Do not allocate</v>
      </c>
      <c r="AI64" s="152" t="str">
        <f>'Fixed inputs'!H79</f>
        <v>Do not allocate</v>
      </c>
      <c r="AJ64" s="152" t="str">
        <f>'Fixed inputs'!H80</f>
        <v>Do not allocate</v>
      </c>
      <c r="AK64" s="152" t="str">
        <f>'Fixed inputs'!H81</f>
        <v>Do not allocate</v>
      </c>
      <c r="AL64" s="152" t="str">
        <f>'Fixed inputs'!H82</f>
        <v>Do not allocate</v>
      </c>
      <c r="AM64" s="152" t="str">
        <f>'Fixed inputs'!H83</f>
        <v>Do not allocate</v>
      </c>
      <c r="AN64" s="152" t="str">
        <f>'Fixed inputs'!H84</f>
        <v>Deduct from revenue</v>
      </c>
      <c r="AO64" s="152" t="str">
        <f>'Fixed inputs'!H85</f>
        <v>Do not allocate</v>
      </c>
      <c r="AP64" s="152" t="str">
        <f>'Fixed inputs'!H86</f>
        <v>LV Services</v>
      </c>
      <c r="AQ64" s="152" t="str">
        <f>'Fixed inputs'!H87</f>
        <v>Do not allocate</v>
      </c>
      <c r="AR64" s="74"/>
      <c r="AS64" s="73"/>
      <c r="AT64" s="42"/>
    </row>
    <row r="65" spans="1:46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 x14ac:dyDescent="0.25">
      <c r="A66" s="73"/>
      <c r="B66" s="73"/>
      <c r="C66" s="73"/>
      <c r="D66" s="73"/>
      <c r="E66" s="115" t="str">
        <f>'Fixed inputs'!E49</f>
        <v>MEAV allocation option name</v>
      </c>
      <c r="F66" s="73"/>
      <c r="G66" s="115" t="s">
        <v>354</v>
      </c>
      <c r="H66" s="152" t="str">
        <f>'Fixed inputs'!H49</f>
        <v>MEAV</v>
      </c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74"/>
      <c r="AS66" s="73"/>
      <c r="AT66" s="42"/>
    </row>
    <row r="67" spans="1:46" x14ac:dyDescent="0.25">
      <c r="A67" s="115"/>
      <c r="B67" s="73"/>
      <c r="C67" s="73"/>
      <c r="D67" s="73"/>
      <c r="E67" s="120" t="s">
        <v>535</v>
      </c>
      <c r="F67" s="101"/>
      <c r="G67" s="115" t="s">
        <v>191</v>
      </c>
      <c r="H67" s="168"/>
      <c r="I67" s="169" t="s">
        <v>314</v>
      </c>
      <c r="J67" s="170">
        <f t="shared" ref="J67:AQ67" si="24">IF($H66 = J64, 1, 0)</f>
        <v>0</v>
      </c>
      <c r="K67" s="170">
        <f t="shared" si="24"/>
        <v>1</v>
      </c>
      <c r="L67" s="170">
        <f t="shared" si="24"/>
        <v>1</v>
      </c>
      <c r="M67" s="170">
        <f t="shared" si="24"/>
        <v>1</v>
      </c>
      <c r="N67" s="170">
        <f t="shared" si="24"/>
        <v>1</v>
      </c>
      <c r="O67" s="170">
        <f t="shared" si="24"/>
        <v>1</v>
      </c>
      <c r="P67" s="170">
        <f t="shared" si="24"/>
        <v>1</v>
      </c>
      <c r="Q67" s="170">
        <f t="shared" si="24"/>
        <v>1</v>
      </c>
      <c r="R67" s="170">
        <f t="shared" si="24"/>
        <v>1</v>
      </c>
      <c r="S67" s="170">
        <f t="shared" si="24"/>
        <v>1</v>
      </c>
      <c r="T67" s="170">
        <f t="shared" si="24"/>
        <v>1</v>
      </c>
      <c r="U67" s="170">
        <f t="shared" si="24"/>
        <v>1</v>
      </c>
      <c r="V67" s="170">
        <f t="shared" si="24"/>
        <v>1</v>
      </c>
      <c r="W67" s="170">
        <f t="shared" si="24"/>
        <v>1</v>
      </c>
      <c r="X67" s="170">
        <f t="shared" si="24"/>
        <v>1</v>
      </c>
      <c r="Y67" s="170">
        <f t="shared" si="24"/>
        <v>0</v>
      </c>
      <c r="Z67" s="170">
        <f t="shared" si="24"/>
        <v>0</v>
      </c>
      <c r="AA67" s="170">
        <f t="shared" si="24"/>
        <v>1</v>
      </c>
      <c r="AB67" s="170">
        <f t="shared" si="24"/>
        <v>1</v>
      </c>
      <c r="AC67" s="170">
        <f t="shared" si="24"/>
        <v>1</v>
      </c>
      <c r="AD67" s="170">
        <f t="shared" si="24"/>
        <v>1</v>
      </c>
      <c r="AE67" s="170">
        <f t="shared" si="24"/>
        <v>0</v>
      </c>
      <c r="AF67" s="170">
        <f t="shared" si="24"/>
        <v>0</v>
      </c>
      <c r="AG67" s="170">
        <f t="shared" si="24"/>
        <v>0</v>
      </c>
      <c r="AH67" s="170">
        <f t="shared" si="24"/>
        <v>0</v>
      </c>
      <c r="AI67" s="170">
        <f t="shared" si="24"/>
        <v>0</v>
      </c>
      <c r="AJ67" s="170">
        <f t="shared" si="24"/>
        <v>0</v>
      </c>
      <c r="AK67" s="170">
        <f t="shared" si="24"/>
        <v>0</v>
      </c>
      <c r="AL67" s="170">
        <f t="shared" si="24"/>
        <v>0</v>
      </c>
      <c r="AM67" s="170">
        <f t="shared" si="24"/>
        <v>0</v>
      </c>
      <c r="AN67" s="170">
        <f t="shared" si="24"/>
        <v>0</v>
      </c>
      <c r="AO67" s="170">
        <f t="shared" si="24"/>
        <v>0</v>
      </c>
      <c r="AP67" s="170">
        <f t="shared" ref="AP67" si="25">IF($H66 = AP64, 1, 0)</f>
        <v>0</v>
      </c>
      <c r="AQ67" s="170">
        <f t="shared" si="24"/>
        <v>0</v>
      </c>
      <c r="AR67" s="74"/>
      <c r="AS67" s="115" t="s">
        <v>570</v>
      </c>
      <c r="AT67" s="42"/>
    </row>
    <row r="68" spans="1:46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3"/>
      <c r="AT68" s="42"/>
    </row>
    <row r="69" spans="1:46" x14ac:dyDescent="0.25">
      <c r="A69" s="115"/>
      <c r="B69" s="73"/>
      <c r="C69" s="73"/>
      <c r="D69" s="73"/>
      <c r="E69" s="115" t="s">
        <v>263</v>
      </c>
      <c r="F69" s="73"/>
      <c r="G69" s="115" t="str">
        <f>G$19</f>
        <v>£ per year</v>
      </c>
      <c r="H69" s="130"/>
      <c r="I69" s="143" t="s">
        <v>314</v>
      </c>
      <c r="J69" s="130">
        <f>J62 * J67</f>
        <v>0</v>
      </c>
      <c r="K69" s="130">
        <f t="shared" ref="K69:AQ69" si="26">K62 * K67</f>
        <v>-699999.99999999255</v>
      </c>
      <c r="L69" s="130">
        <f t="shared" si="26"/>
        <v>14900000</v>
      </c>
      <c r="M69" s="130">
        <f t="shared" si="26"/>
        <v>1100000.0000000019</v>
      </c>
      <c r="N69" s="130">
        <f t="shared" si="26"/>
        <v>200000.00000000186</v>
      </c>
      <c r="O69" s="130">
        <f t="shared" si="26"/>
        <v>-9142.6544963708147</v>
      </c>
      <c r="P69" s="130">
        <f t="shared" si="26"/>
        <v>600000</v>
      </c>
      <c r="Q69" s="130">
        <f t="shared" si="26"/>
        <v>4500000</v>
      </c>
      <c r="R69" s="130">
        <f t="shared" si="26"/>
        <v>4899999.9999999991</v>
      </c>
      <c r="S69" s="130">
        <f t="shared" si="26"/>
        <v>9600000.0000000019</v>
      </c>
      <c r="T69" s="130">
        <f t="shared" si="26"/>
        <v>1900000</v>
      </c>
      <c r="U69" s="130">
        <f t="shared" si="26"/>
        <v>1000000</v>
      </c>
      <c r="V69" s="130">
        <f t="shared" si="26"/>
        <v>700000</v>
      </c>
      <c r="W69" s="130">
        <f t="shared" si="26"/>
        <v>1200000</v>
      </c>
      <c r="X69" s="130">
        <f t="shared" si="26"/>
        <v>4200000</v>
      </c>
      <c r="Y69" s="130">
        <f t="shared" si="26"/>
        <v>0</v>
      </c>
      <c r="Z69" s="130">
        <f t="shared" si="26"/>
        <v>0</v>
      </c>
      <c r="AA69" s="130">
        <f t="shared" si="26"/>
        <v>899999.99999999988</v>
      </c>
      <c r="AB69" s="130">
        <f t="shared" si="26"/>
        <v>1200000</v>
      </c>
      <c r="AC69" s="130">
        <f t="shared" si="26"/>
        <v>5899999.9999999991</v>
      </c>
      <c r="AD69" s="130">
        <f t="shared" si="26"/>
        <v>1600000</v>
      </c>
      <c r="AE69" s="130">
        <f t="shared" si="26"/>
        <v>0</v>
      </c>
      <c r="AF69" s="130">
        <f t="shared" si="26"/>
        <v>0</v>
      </c>
      <c r="AG69" s="130">
        <f t="shared" si="26"/>
        <v>0</v>
      </c>
      <c r="AH69" s="130">
        <f t="shared" si="26"/>
        <v>0</v>
      </c>
      <c r="AI69" s="130">
        <f t="shared" si="26"/>
        <v>0</v>
      </c>
      <c r="AJ69" s="130">
        <f t="shared" si="26"/>
        <v>0</v>
      </c>
      <c r="AK69" s="130">
        <f t="shared" si="26"/>
        <v>0</v>
      </c>
      <c r="AL69" s="130">
        <f t="shared" si="26"/>
        <v>0</v>
      </c>
      <c r="AM69" s="130">
        <f t="shared" si="26"/>
        <v>0</v>
      </c>
      <c r="AN69" s="130">
        <f t="shared" si="26"/>
        <v>0</v>
      </c>
      <c r="AO69" s="130">
        <f t="shared" si="26"/>
        <v>0</v>
      </c>
      <c r="AP69" s="130">
        <f t="shared" ref="AP69" si="27">AP62 * AP67</f>
        <v>0</v>
      </c>
      <c r="AQ69" s="130">
        <f t="shared" si="26"/>
        <v>0</v>
      </c>
      <c r="AR69" s="74"/>
      <c r="AS69" s="115" t="s">
        <v>570</v>
      </c>
      <c r="AT69" s="42"/>
    </row>
    <row r="70" spans="1:46" x14ac:dyDescent="0.25">
      <c r="A70" s="73"/>
      <c r="B70" s="73"/>
      <c r="C70" s="73"/>
      <c r="D70" s="73"/>
      <c r="E70" s="109"/>
      <c r="F70" s="73"/>
      <c r="G70" s="73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3"/>
      <c r="AT70" s="42"/>
    </row>
    <row r="71" spans="1:46" x14ac:dyDescent="0.25">
      <c r="A71" s="73"/>
      <c r="B71" s="101"/>
      <c r="C71" s="110" t="s">
        <v>639</v>
      </c>
      <c r="D71" s="110"/>
      <c r="E71" s="110"/>
      <c r="F71" s="110"/>
      <c r="G71" s="110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0"/>
      <c r="AT71" s="42"/>
    </row>
    <row r="72" spans="1:46" x14ac:dyDescent="0.25">
      <c r="A72" s="73"/>
      <c r="B72" s="73"/>
      <c r="C72" s="109"/>
      <c r="D72" s="109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 x14ac:dyDescent="0.25">
      <c r="A73" s="73"/>
      <c r="B73" s="73"/>
      <c r="C73" s="73"/>
      <c r="D73" s="109"/>
      <c r="E73" s="112" t="str">
        <f>MEAV!E65</f>
        <v>Share of total MEAV, by network level</v>
      </c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25">
      <c r="A74" s="73"/>
      <c r="B74" s="73"/>
      <c r="C74" s="73"/>
      <c r="D74" s="73"/>
      <c r="E74" s="73"/>
      <c r="F74" s="113" t="str">
        <f>MEAV!F66</f>
        <v>LV services</v>
      </c>
      <c r="G74" s="113" t="str">
        <f>MEAV!G66</f>
        <v>%</v>
      </c>
      <c r="H74" s="172">
        <f>MEAV!H66</f>
        <v>0.16012964788749881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74"/>
      <c r="AS74" s="73"/>
      <c r="AT74" s="42"/>
    </row>
    <row r="75" spans="1:46" x14ac:dyDescent="0.25">
      <c r="A75" s="73"/>
      <c r="B75" s="73"/>
      <c r="C75" s="73"/>
      <c r="D75" s="73"/>
      <c r="E75" s="73"/>
      <c r="F75" s="115" t="str">
        <f>MEAV!F67</f>
        <v>LV mains</v>
      </c>
      <c r="G75" s="115" t="str">
        <f>MEAV!G67</f>
        <v>%</v>
      </c>
      <c r="H75" s="166">
        <f>MEAV!H67</f>
        <v>0.29153630721549378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74"/>
      <c r="AS75" s="73"/>
      <c r="AT75" s="42"/>
    </row>
    <row r="76" spans="1:46" x14ac:dyDescent="0.25">
      <c r="A76" s="73"/>
      <c r="B76" s="73"/>
      <c r="C76" s="73"/>
      <c r="D76" s="73"/>
      <c r="E76" s="73"/>
      <c r="F76" s="115" t="str">
        <f>MEAV!F68</f>
        <v>HV/LV</v>
      </c>
      <c r="G76" s="115" t="str">
        <f>MEAV!G68</f>
        <v>%</v>
      </c>
      <c r="H76" s="166">
        <f>MEAV!H68</f>
        <v>7.1879514205514652E-2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 x14ac:dyDescent="0.25">
      <c r="A77" s="73"/>
      <c r="B77" s="73"/>
      <c r="C77" s="73"/>
      <c r="D77" s="73"/>
      <c r="E77" s="73"/>
      <c r="F77" s="115" t="str">
        <f>MEAV!F69</f>
        <v>HV</v>
      </c>
      <c r="G77" s="115" t="str">
        <f>MEAV!G69</f>
        <v>%</v>
      </c>
      <c r="H77" s="166">
        <f>MEAV!H69</f>
        <v>0.25684360461638051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7" t="str">
        <f>MEAV!F70</f>
        <v>EHV and 132kV</v>
      </c>
      <c r="G78" s="117" t="str">
        <f>MEAV!G70</f>
        <v>%</v>
      </c>
      <c r="H78" s="173">
        <f>MEAV!H70</f>
        <v>0.21961092607511237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3"/>
      <c r="AT79" s="42"/>
    </row>
    <row r="80" spans="1:46" x14ac:dyDescent="0.25">
      <c r="A80" s="73"/>
      <c r="B80" s="73"/>
      <c r="C80" s="73"/>
      <c r="D80" s="73"/>
      <c r="E80" s="112" t="str">
        <f>MEAV!E136</f>
        <v>Share of total adjusted MEAV, by network level</v>
      </c>
      <c r="F80" s="73"/>
      <c r="G80" s="73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113" t="str">
        <f>MEAV!F137</f>
        <v>LV services</v>
      </c>
      <c r="G81" s="113" t="str">
        <f>MEAV!G137</f>
        <v>%</v>
      </c>
      <c r="H81" s="172">
        <f>MEAV!H137</f>
        <v>0.16368472895430339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25">
      <c r="A82" s="73"/>
      <c r="B82" s="73"/>
      <c r="C82" s="73"/>
      <c r="D82" s="73"/>
      <c r="E82" s="73"/>
      <c r="F82" s="115" t="str">
        <f>MEAV!F138</f>
        <v>LV mains</v>
      </c>
      <c r="G82" s="115" t="str">
        <f>MEAV!G138</f>
        <v>%</v>
      </c>
      <c r="H82" s="166">
        <f>MEAV!H138</f>
        <v>0.29800878261115621</v>
      </c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74"/>
      <c r="AS82" s="73"/>
      <c r="AT82" s="42"/>
    </row>
    <row r="83" spans="1:46" x14ac:dyDescent="0.25">
      <c r="A83" s="73"/>
      <c r="B83" s="73"/>
      <c r="C83" s="73"/>
      <c r="D83" s="73"/>
      <c r="E83" s="73"/>
      <c r="F83" s="115" t="str">
        <f>MEAV!F139</f>
        <v>HV/LV</v>
      </c>
      <c r="G83" s="115" t="str">
        <f>MEAV!G139</f>
        <v>%</v>
      </c>
      <c r="H83" s="166">
        <f>MEAV!H139</f>
        <v>7.3475330491969415E-2</v>
      </c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74"/>
      <c r="AS83" s="73"/>
      <c r="AT83" s="42"/>
    </row>
    <row r="84" spans="1:46" x14ac:dyDescent="0.25">
      <c r="A84" s="73"/>
      <c r="B84" s="73"/>
      <c r="C84" s="73"/>
      <c r="D84" s="73"/>
      <c r="E84" s="73"/>
      <c r="F84" s="115" t="str">
        <f>MEAV!F140</f>
        <v>HV</v>
      </c>
      <c r="G84" s="115" t="str">
        <f>MEAV!G140</f>
        <v>%</v>
      </c>
      <c r="H84" s="166">
        <f>MEAV!H140</f>
        <v>0.26254585805881014</v>
      </c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74"/>
      <c r="AS84" s="73"/>
      <c r="AT84" s="42"/>
    </row>
    <row r="85" spans="1:46" x14ac:dyDescent="0.25">
      <c r="A85" s="73"/>
      <c r="B85" s="73"/>
      <c r="C85" s="73"/>
      <c r="D85" s="73"/>
      <c r="E85" s="73"/>
      <c r="F85" s="117" t="str">
        <f>MEAV!F141</f>
        <v>EHV and 132kV</v>
      </c>
      <c r="G85" s="117" t="str">
        <f>MEAV!G141</f>
        <v>%</v>
      </c>
      <c r="H85" s="173">
        <f>MEAV!H141</f>
        <v>0.20228529988376076</v>
      </c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74"/>
      <c r="AS85" s="73"/>
      <c r="AT85" s="42"/>
    </row>
    <row r="86" spans="1:46" x14ac:dyDescent="0.25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25">
      <c r="A87" s="73"/>
      <c r="B87" s="101"/>
      <c r="C87" s="110" t="s">
        <v>640</v>
      </c>
      <c r="D87" s="110"/>
      <c r="E87" s="110"/>
      <c r="F87" s="110"/>
      <c r="G87" s="110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0"/>
      <c r="AT87" s="42"/>
    </row>
    <row r="88" spans="1:46" x14ac:dyDescent="0.25">
      <c r="A88" s="73"/>
      <c r="B88" s="73"/>
      <c r="C88" s="109"/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25">
      <c r="A89" s="115"/>
      <c r="B89" s="73"/>
      <c r="C89" s="73"/>
      <c r="D89" s="109"/>
      <c r="E89" s="112" t="s">
        <v>355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115" t="s">
        <v>570</v>
      </c>
      <c r="AT89" s="42"/>
    </row>
    <row r="90" spans="1:46" x14ac:dyDescent="0.25">
      <c r="A90" s="73"/>
      <c r="B90" s="73"/>
      <c r="C90" s="73"/>
      <c r="D90" s="73"/>
      <c r="E90" s="73"/>
      <c r="F90" s="113" t="s">
        <v>193</v>
      </c>
      <c r="G90" s="113" t="str">
        <f>G$19</f>
        <v>£ per year</v>
      </c>
      <c r="H90" s="145"/>
      <c r="I90" s="145"/>
      <c r="J90" s="163">
        <f t="shared" ref="J90:AQ90" si="28">J$69 * $H74</f>
        <v>0</v>
      </c>
      <c r="K90" s="163">
        <f t="shared" si="28"/>
        <v>-112090.75352124797</v>
      </c>
      <c r="L90" s="163">
        <f t="shared" si="28"/>
        <v>2385931.7535237321</v>
      </c>
      <c r="M90" s="163">
        <f t="shared" si="28"/>
        <v>176142.612676249</v>
      </c>
      <c r="N90" s="163">
        <f t="shared" si="28"/>
        <v>32025.929577500061</v>
      </c>
      <c r="O90" s="163">
        <f t="shared" si="28"/>
        <v>-1464.0100452609163</v>
      </c>
      <c r="P90" s="163">
        <f t="shared" si="28"/>
        <v>96077.788732499292</v>
      </c>
      <c r="Q90" s="163">
        <f t="shared" si="28"/>
        <v>720583.41549374466</v>
      </c>
      <c r="R90" s="163">
        <f t="shared" si="28"/>
        <v>784635.27464874403</v>
      </c>
      <c r="S90" s="163">
        <f t="shared" si="28"/>
        <v>1537244.6197199889</v>
      </c>
      <c r="T90" s="163">
        <f t="shared" si="28"/>
        <v>304246.33098624775</v>
      </c>
      <c r="U90" s="163">
        <f t="shared" si="28"/>
        <v>160129.64788749881</v>
      </c>
      <c r="V90" s="163">
        <f t="shared" si="28"/>
        <v>112090.75352124916</v>
      </c>
      <c r="W90" s="163">
        <f t="shared" si="28"/>
        <v>192155.57746499858</v>
      </c>
      <c r="X90" s="163">
        <f t="shared" si="28"/>
        <v>672544.52112749498</v>
      </c>
      <c r="Y90" s="163">
        <f t="shared" si="28"/>
        <v>0</v>
      </c>
      <c r="Z90" s="163">
        <f t="shared" si="28"/>
        <v>0</v>
      </c>
      <c r="AA90" s="163">
        <f t="shared" si="28"/>
        <v>144116.68309874891</v>
      </c>
      <c r="AB90" s="163">
        <f t="shared" si="28"/>
        <v>192155.57746499858</v>
      </c>
      <c r="AC90" s="163">
        <f t="shared" si="28"/>
        <v>944764.92253624287</v>
      </c>
      <c r="AD90" s="163">
        <f t="shared" si="28"/>
        <v>256207.4366199981</v>
      </c>
      <c r="AE90" s="163">
        <f t="shared" si="28"/>
        <v>0</v>
      </c>
      <c r="AF90" s="163">
        <f t="shared" si="28"/>
        <v>0</v>
      </c>
      <c r="AG90" s="163">
        <f t="shared" si="28"/>
        <v>0</v>
      </c>
      <c r="AH90" s="163">
        <f t="shared" si="28"/>
        <v>0</v>
      </c>
      <c r="AI90" s="163">
        <f t="shared" si="28"/>
        <v>0</v>
      </c>
      <c r="AJ90" s="163">
        <f t="shared" si="28"/>
        <v>0</v>
      </c>
      <c r="AK90" s="163">
        <f t="shared" si="28"/>
        <v>0</v>
      </c>
      <c r="AL90" s="163">
        <f t="shared" si="28"/>
        <v>0</v>
      </c>
      <c r="AM90" s="163">
        <f t="shared" si="28"/>
        <v>0</v>
      </c>
      <c r="AN90" s="163">
        <f t="shared" si="28"/>
        <v>0</v>
      </c>
      <c r="AO90" s="163">
        <f t="shared" si="28"/>
        <v>0</v>
      </c>
      <c r="AP90" s="163">
        <f t="shared" ref="AP90" si="29">AP$69 * $H74</f>
        <v>0</v>
      </c>
      <c r="AQ90" s="163">
        <f t="shared" si="28"/>
        <v>0</v>
      </c>
      <c r="AR90" s="74"/>
      <c r="AS90" s="73"/>
      <c r="AT90" s="42"/>
    </row>
    <row r="91" spans="1:46" x14ac:dyDescent="0.25">
      <c r="A91" s="73"/>
      <c r="B91" s="73"/>
      <c r="C91" s="73"/>
      <c r="D91" s="73"/>
      <c r="E91" s="73"/>
      <c r="F91" s="115" t="s">
        <v>194</v>
      </c>
      <c r="G91" s="115" t="str">
        <f>G$19</f>
        <v>£ per year</v>
      </c>
      <c r="H91" s="130"/>
      <c r="I91" s="130"/>
      <c r="J91" s="164">
        <f t="shared" ref="J91:AQ91" si="30">J$69 * $H75</f>
        <v>0</v>
      </c>
      <c r="K91" s="164">
        <f t="shared" si="30"/>
        <v>-204075.41505084347</v>
      </c>
      <c r="L91" s="164">
        <f t="shared" si="30"/>
        <v>4343890.9775108574</v>
      </c>
      <c r="M91" s="164">
        <f t="shared" si="30"/>
        <v>320689.93793704372</v>
      </c>
      <c r="N91" s="164">
        <f t="shared" si="30"/>
        <v>58307.261443099298</v>
      </c>
      <c r="O91" s="164">
        <f t="shared" si="30"/>
        <v>-2665.4157300190773</v>
      </c>
      <c r="P91" s="164">
        <f t="shared" si="30"/>
        <v>174921.78432929626</v>
      </c>
      <c r="Q91" s="164">
        <f t="shared" si="30"/>
        <v>1311913.3824697221</v>
      </c>
      <c r="R91" s="164">
        <f t="shared" si="30"/>
        <v>1428527.9053559194</v>
      </c>
      <c r="S91" s="164">
        <f t="shared" si="30"/>
        <v>2798748.5492687407</v>
      </c>
      <c r="T91" s="164">
        <f t="shared" si="30"/>
        <v>553918.98370943824</v>
      </c>
      <c r="U91" s="164">
        <f t="shared" si="30"/>
        <v>291536.30721549381</v>
      </c>
      <c r="V91" s="164">
        <f t="shared" si="30"/>
        <v>204075.41505084565</v>
      </c>
      <c r="W91" s="164">
        <f t="shared" si="30"/>
        <v>349843.56865859253</v>
      </c>
      <c r="X91" s="164">
        <f t="shared" si="30"/>
        <v>1224452.4903050738</v>
      </c>
      <c r="Y91" s="164">
        <f t="shared" si="30"/>
        <v>0</v>
      </c>
      <c r="Z91" s="164">
        <f t="shared" si="30"/>
        <v>0</v>
      </c>
      <c r="AA91" s="164">
        <f t="shared" si="30"/>
        <v>262382.67649394437</v>
      </c>
      <c r="AB91" s="164">
        <f t="shared" si="30"/>
        <v>349843.56865859253</v>
      </c>
      <c r="AC91" s="164">
        <f t="shared" si="30"/>
        <v>1720064.212571413</v>
      </c>
      <c r="AD91" s="164">
        <f t="shared" si="30"/>
        <v>466458.09154479008</v>
      </c>
      <c r="AE91" s="164">
        <f t="shared" si="30"/>
        <v>0</v>
      </c>
      <c r="AF91" s="164">
        <f t="shared" si="30"/>
        <v>0</v>
      </c>
      <c r="AG91" s="164">
        <f t="shared" si="30"/>
        <v>0</v>
      </c>
      <c r="AH91" s="164">
        <f t="shared" si="30"/>
        <v>0</v>
      </c>
      <c r="AI91" s="164">
        <f t="shared" si="30"/>
        <v>0</v>
      </c>
      <c r="AJ91" s="164">
        <f t="shared" si="30"/>
        <v>0</v>
      </c>
      <c r="AK91" s="164">
        <f t="shared" si="30"/>
        <v>0</v>
      </c>
      <c r="AL91" s="164">
        <f t="shared" si="30"/>
        <v>0</v>
      </c>
      <c r="AM91" s="164">
        <f t="shared" si="30"/>
        <v>0</v>
      </c>
      <c r="AN91" s="164">
        <f t="shared" si="30"/>
        <v>0</v>
      </c>
      <c r="AO91" s="164">
        <f t="shared" si="30"/>
        <v>0</v>
      </c>
      <c r="AP91" s="164">
        <f t="shared" ref="AP91" si="31">AP$69 * $H75</f>
        <v>0</v>
      </c>
      <c r="AQ91" s="164">
        <f t="shared" si="30"/>
        <v>0</v>
      </c>
      <c r="AR91" s="74"/>
      <c r="AS91" s="73"/>
      <c r="AT91" s="42"/>
    </row>
    <row r="92" spans="1:46" x14ac:dyDescent="0.25">
      <c r="A92" s="73"/>
      <c r="B92" s="73"/>
      <c r="C92" s="73"/>
      <c r="D92" s="73"/>
      <c r="E92" s="73"/>
      <c r="F92" s="115" t="s">
        <v>41</v>
      </c>
      <c r="G92" s="115" t="str">
        <f>G$19</f>
        <v>£ per year</v>
      </c>
      <c r="H92" s="130"/>
      <c r="I92" s="130"/>
      <c r="J92" s="164">
        <f t="shared" ref="J92:AQ92" si="32">J$69 * $H76</f>
        <v>0</v>
      </c>
      <c r="K92" s="164">
        <f t="shared" si="32"/>
        <v>-50315.659943859719</v>
      </c>
      <c r="L92" s="164">
        <f t="shared" si="32"/>
        <v>1071004.7616621684</v>
      </c>
      <c r="M92" s="164">
        <f t="shared" si="32"/>
        <v>79067.465626066245</v>
      </c>
      <c r="N92" s="164">
        <f t="shared" si="32"/>
        <v>14375.902841103065</v>
      </c>
      <c r="O92" s="164">
        <f t="shared" si="32"/>
        <v>-657.16956374799838</v>
      </c>
      <c r="P92" s="164">
        <f t="shared" si="32"/>
        <v>43127.708523308793</v>
      </c>
      <c r="Q92" s="164">
        <f t="shared" si="32"/>
        <v>323457.81392481591</v>
      </c>
      <c r="R92" s="164">
        <f t="shared" si="32"/>
        <v>352209.61960702174</v>
      </c>
      <c r="S92" s="164">
        <f t="shared" si="32"/>
        <v>690043.3363729408</v>
      </c>
      <c r="T92" s="164">
        <f t="shared" si="32"/>
        <v>136571.07699047783</v>
      </c>
      <c r="U92" s="164">
        <f t="shared" si="32"/>
        <v>71879.514205514657</v>
      </c>
      <c r="V92" s="164">
        <f t="shared" si="32"/>
        <v>50315.659943860257</v>
      </c>
      <c r="W92" s="164">
        <f t="shared" si="32"/>
        <v>86255.417046617586</v>
      </c>
      <c r="X92" s="164">
        <f t="shared" si="32"/>
        <v>301893.95966316154</v>
      </c>
      <c r="Y92" s="164">
        <f t="shared" si="32"/>
        <v>0</v>
      </c>
      <c r="Z92" s="164">
        <f t="shared" si="32"/>
        <v>0</v>
      </c>
      <c r="AA92" s="164">
        <f t="shared" si="32"/>
        <v>64691.562784963178</v>
      </c>
      <c r="AB92" s="164">
        <f t="shared" si="32"/>
        <v>86255.417046617586</v>
      </c>
      <c r="AC92" s="164">
        <f t="shared" si="32"/>
        <v>424089.13381253637</v>
      </c>
      <c r="AD92" s="164">
        <f t="shared" si="32"/>
        <v>115007.22272882344</v>
      </c>
      <c r="AE92" s="164">
        <f t="shared" si="32"/>
        <v>0</v>
      </c>
      <c r="AF92" s="164">
        <f t="shared" si="32"/>
        <v>0</v>
      </c>
      <c r="AG92" s="164">
        <f t="shared" si="32"/>
        <v>0</v>
      </c>
      <c r="AH92" s="164">
        <f t="shared" si="32"/>
        <v>0</v>
      </c>
      <c r="AI92" s="164">
        <f t="shared" si="32"/>
        <v>0</v>
      </c>
      <c r="AJ92" s="164">
        <f t="shared" si="32"/>
        <v>0</v>
      </c>
      <c r="AK92" s="164">
        <f t="shared" si="32"/>
        <v>0</v>
      </c>
      <c r="AL92" s="164">
        <f t="shared" si="32"/>
        <v>0</v>
      </c>
      <c r="AM92" s="164">
        <f t="shared" si="32"/>
        <v>0</v>
      </c>
      <c r="AN92" s="164">
        <f t="shared" si="32"/>
        <v>0</v>
      </c>
      <c r="AO92" s="164">
        <f t="shared" si="32"/>
        <v>0</v>
      </c>
      <c r="AP92" s="164">
        <f t="shared" ref="AP92" si="33">AP$69 * $H76</f>
        <v>0</v>
      </c>
      <c r="AQ92" s="164">
        <f t="shared" si="32"/>
        <v>0</v>
      </c>
      <c r="AR92" s="74"/>
      <c r="AS92" s="73"/>
      <c r="AT92" s="42"/>
    </row>
    <row r="93" spans="1:46" x14ac:dyDescent="0.25">
      <c r="A93" s="73"/>
      <c r="B93" s="73"/>
      <c r="C93" s="73"/>
      <c r="D93" s="73"/>
      <c r="E93" s="73"/>
      <c r="F93" s="115" t="s">
        <v>40</v>
      </c>
      <c r="G93" s="115" t="str">
        <f>G$19</f>
        <v>£ per year</v>
      </c>
      <c r="H93" s="130"/>
      <c r="I93" s="130"/>
      <c r="J93" s="164">
        <f t="shared" ref="J93:AQ93" si="34">J$69 * $H77</f>
        <v>0</v>
      </c>
      <c r="K93" s="164">
        <f t="shared" si="34"/>
        <v>-179790.52323146444</v>
      </c>
      <c r="L93" s="164">
        <f t="shared" si="34"/>
        <v>3826969.7087840694</v>
      </c>
      <c r="M93" s="164">
        <f t="shared" si="34"/>
        <v>282527.96507801901</v>
      </c>
      <c r="N93" s="164">
        <f t="shared" si="34"/>
        <v>51368.720923276582</v>
      </c>
      <c r="O93" s="164">
        <f t="shared" si="34"/>
        <v>-2348.2323366100391</v>
      </c>
      <c r="P93" s="164">
        <f t="shared" si="34"/>
        <v>154106.16276982831</v>
      </c>
      <c r="Q93" s="164">
        <f t="shared" si="34"/>
        <v>1155796.2207737123</v>
      </c>
      <c r="R93" s="164">
        <f t="shared" si="34"/>
        <v>1258533.6626202643</v>
      </c>
      <c r="S93" s="164">
        <f t="shared" si="34"/>
        <v>2465698.6043172535</v>
      </c>
      <c r="T93" s="164">
        <f t="shared" si="34"/>
        <v>488002.84877112298</v>
      </c>
      <c r="U93" s="164">
        <f t="shared" si="34"/>
        <v>256843.6046163805</v>
      </c>
      <c r="V93" s="164">
        <f t="shared" si="34"/>
        <v>179790.52323146636</v>
      </c>
      <c r="W93" s="164">
        <f t="shared" si="34"/>
        <v>308212.32553965662</v>
      </c>
      <c r="X93" s="164">
        <f t="shared" si="34"/>
        <v>1078743.139388798</v>
      </c>
      <c r="Y93" s="164">
        <f t="shared" si="34"/>
        <v>0</v>
      </c>
      <c r="Z93" s="164">
        <f t="shared" si="34"/>
        <v>0</v>
      </c>
      <c r="AA93" s="164">
        <f t="shared" si="34"/>
        <v>231159.24415474242</v>
      </c>
      <c r="AB93" s="164">
        <f t="shared" si="34"/>
        <v>308212.32553965662</v>
      </c>
      <c r="AC93" s="164">
        <f t="shared" si="34"/>
        <v>1515377.2672366446</v>
      </c>
      <c r="AD93" s="164">
        <f t="shared" si="34"/>
        <v>410949.76738620881</v>
      </c>
      <c r="AE93" s="164">
        <f t="shared" si="34"/>
        <v>0</v>
      </c>
      <c r="AF93" s="164">
        <f t="shared" si="34"/>
        <v>0</v>
      </c>
      <c r="AG93" s="164">
        <f t="shared" si="34"/>
        <v>0</v>
      </c>
      <c r="AH93" s="164">
        <f t="shared" si="34"/>
        <v>0</v>
      </c>
      <c r="AI93" s="164">
        <f t="shared" si="34"/>
        <v>0</v>
      </c>
      <c r="AJ93" s="164">
        <f t="shared" si="34"/>
        <v>0</v>
      </c>
      <c r="AK93" s="164">
        <f t="shared" si="34"/>
        <v>0</v>
      </c>
      <c r="AL93" s="164">
        <f t="shared" si="34"/>
        <v>0</v>
      </c>
      <c r="AM93" s="164">
        <f t="shared" si="34"/>
        <v>0</v>
      </c>
      <c r="AN93" s="164">
        <f t="shared" si="34"/>
        <v>0</v>
      </c>
      <c r="AO93" s="164">
        <f t="shared" si="34"/>
        <v>0</v>
      </c>
      <c r="AP93" s="164">
        <f t="shared" ref="AP93" si="35">AP$69 * $H77</f>
        <v>0</v>
      </c>
      <c r="AQ93" s="164">
        <f t="shared" si="34"/>
        <v>0</v>
      </c>
      <c r="AR93" s="74"/>
      <c r="AS93" s="73"/>
      <c r="AT93" s="42"/>
    </row>
    <row r="94" spans="1:46" x14ac:dyDescent="0.25">
      <c r="A94" s="73"/>
      <c r="B94" s="73"/>
      <c r="C94" s="73"/>
      <c r="D94" s="73"/>
      <c r="E94" s="73"/>
      <c r="F94" s="117" t="s">
        <v>166</v>
      </c>
      <c r="G94" s="117" t="str">
        <f>G$19</f>
        <v>£ per year</v>
      </c>
      <c r="H94" s="146"/>
      <c r="I94" s="147"/>
      <c r="J94" s="165">
        <f t="shared" ref="J94:AQ94" si="36">J$69 * $H78</f>
        <v>0</v>
      </c>
      <c r="K94" s="165">
        <f t="shared" si="36"/>
        <v>-153727.64825257703</v>
      </c>
      <c r="L94" s="165">
        <f t="shared" si="36"/>
        <v>3272202.7985191746</v>
      </c>
      <c r="M94" s="165">
        <f t="shared" si="36"/>
        <v>241572.01868262401</v>
      </c>
      <c r="N94" s="165">
        <f t="shared" si="36"/>
        <v>43922.185215022881</v>
      </c>
      <c r="O94" s="165">
        <f t="shared" si="36"/>
        <v>-2007.8268207327847</v>
      </c>
      <c r="P94" s="165">
        <f t="shared" si="36"/>
        <v>131766.55564506742</v>
      </c>
      <c r="Q94" s="165">
        <f t="shared" si="36"/>
        <v>988249.16733800573</v>
      </c>
      <c r="R94" s="165">
        <f t="shared" si="36"/>
        <v>1076093.5377680503</v>
      </c>
      <c r="S94" s="165">
        <f t="shared" si="36"/>
        <v>2108264.8903210792</v>
      </c>
      <c r="T94" s="165">
        <f t="shared" si="36"/>
        <v>417260.75954271352</v>
      </c>
      <c r="U94" s="165">
        <f t="shared" si="36"/>
        <v>219610.92607511237</v>
      </c>
      <c r="V94" s="165">
        <f t="shared" si="36"/>
        <v>153727.64825257866</v>
      </c>
      <c r="W94" s="165">
        <f t="shared" si="36"/>
        <v>263533.11129013484</v>
      </c>
      <c r="X94" s="165">
        <f t="shared" si="36"/>
        <v>922365.88951547199</v>
      </c>
      <c r="Y94" s="165">
        <f t="shared" si="36"/>
        <v>0</v>
      </c>
      <c r="Z94" s="165">
        <f t="shared" si="36"/>
        <v>0</v>
      </c>
      <c r="AA94" s="165">
        <f t="shared" si="36"/>
        <v>197649.8334676011</v>
      </c>
      <c r="AB94" s="165">
        <f t="shared" si="36"/>
        <v>263533.11129013484</v>
      </c>
      <c r="AC94" s="165">
        <f t="shared" si="36"/>
        <v>1295704.4638431629</v>
      </c>
      <c r="AD94" s="165">
        <f t="shared" si="36"/>
        <v>351377.48172017979</v>
      </c>
      <c r="AE94" s="165">
        <f t="shared" si="36"/>
        <v>0</v>
      </c>
      <c r="AF94" s="165">
        <f t="shared" si="36"/>
        <v>0</v>
      </c>
      <c r="AG94" s="165">
        <f t="shared" si="36"/>
        <v>0</v>
      </c>
      <c r="AH94" s="165">
        <f t="shared" si="36"/>
        <v>0</v>
      </c>
      <c r="AI94" s="165">
        <f t="shared" si="36"/>
        <v>0</v>
      </c>
      <c r="AJ94" s="165">
        <f t="shared" si="36"/>
        <v>0</v>
      </c>
      <c r="AK94" s="165">
        <f t="shared" si="36"/>
        <v>0</v>
      </c>
      <c r="AL94" s="165">
        <f t="shared" si="36"/>
        <v>0</v>
      </c>
      <c r="AM94" s="165">
        <f t="shared" si="36"/>
        <v>0</v>
      </c>
      <c r="AN94" s="165">
        <f t="shared" si="36"/>
        <v>0</v>
      </c>
      <c r="AO94" s="165">
        <f t="shared" si="36"/>
        <v>0</v>
      </c>
      <c r="AP94" s="165">
        <f t="shared" ref="AP94" si="37">AP$69 * $H78</f>
        <v>0</v>
      </c>
      <c r="AQ94" s="165">
        <f t="shared" si="36"/>
        <v>0</v>
      </c>
      <c r="AR94" s="74"/>
      <c r="AS94" s="73"/>
      <c r="AT94" s="42"/>
    </row>
    <row r="95" spans="1:46" x14ac:dyDescent="0.25">
      <c r="A95" s="73"/>
      <c r="B95" s="73"/>
      <c r="C95" s="73"/>
      <c r="D95" s="73"/>
      <c r="E95" s="73"/>
      <c r="F95" s="73"/>
      <c r="G95" s="73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3"/>
      <c r="AT95" s="42"/>
    </row>
    <row r="96" spans="1:46" x14ac:dyDescent="0.25">
      <c r="A96" s="115"/>
      <c r="B96" s="73"/>
      <c r="C96" s="73"/>
      <c r="D96" s="73"/>
      <c r="E96" s="112" t="s">
        <v>356</v>
      </c>
      <c r="F96" s="73"/>
      <c r="G96" s="73"/>
      <c r="H96" s="74"/>
      <c r="I96" s="132" t="s">
        <v>314</v>
      </c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115" t="s">
        <v>570</v>
      </c>
      <c r="AT96" s="42"/>
    </row>
    <row r="97" spans="1:46" x14ac:dyDescent="0.25">
      <c r="A97" s="73"/>
      <c r="B97" s="73"/>
      <c r="C97" s="73"/>
      <c r="D97" s="73"/>
      <c r="E97" s="73"/>
      <c r="F97" s="113" t="s">
        <v>193</v>
      </c>
      <c r="G97" s="113" t="str">
        <f>G$19</f>
        <v>£ per year</v>
      </c>
      <c r="H97" s="145"/>
      <c r="I97" s="145"/>
      <c r="J97" s="163">
        <f t="shared" ref="J97:AQ97" si="38">J$69 * $H81</f>
        <v>0</v>
      </c>
      <c r="K97" s="163">
        <f t="shared" si="38"/>
        <v>-114579.31026801115</v>
      </c>
      <c r="L97" s="163">
        <f t="shared" si="38"/>
        <v>2438902.4614191204</v>
      </c>
      <c r="M97" s="163">
        <f t="shared" si="38"/>
        <v>180053.20184973403</v>
      </c>
      <c r="N97" s="163">
        <f t="shared" si="38"/>
        <v>32736.945790860984</v>
      </c>
      <c r="O97" s="163">
        <f t="shared" si="38"/>
        <v>-1496.5129231613</v>
      </c>
      <c r="P97" s="163">
        <f t="shared" si="38"/>
        <v>98210.837372582027</v>
      </c>
      <c r="Q97" s="163">
        <f t="shared" si="38"/>
        <v>736581.28029436525</v>
      </c>
      <c r="R97" s="163">
        <f t="shared" si="38"/>
        <v>802055.1718760865</v>
      </c>
      <c r="S97" s="163">
        <f t="shared" si="38"/>
        <v>1571373.3979613129</v>
      </c>
      <c r="T97" s="163">
        <f t="shared" si="38"/>
        <v>311000.98501317645</v>
      </c>
      <c r="U97" s="163">
        <f t="shared" si="38"/>
        <v>163684.7289543034</v>
      </c>
      <c r="V97" s="163">
        <f t="shared" si="38"/>
        <v>114579.31026801237</v>
      </c>
      <c r="W97" s="163">
        <f t="shared" si="38"/>
        <v>196421.67474516405</v>
      </c>
      <c r="X97" s="163">
        <f t="shared" si="38"/>
        <v>687475.86160807428</v>
      </c>
      <c r="Y97" s="163">
        <f t="shared" si="38"/>
        <v>0</v>
      </c>
      <c r="Z97" s="163">
        <f t="shared" si="38"/>
        <v>0</v>
      </c>
      <c r="AA97" s="163">
        <f t="shared" si="38"/>
        <v>147316.25605887303</v>
      </c>
      <c r="AB97" s="163">
        <f t="shared" si="38"/>
        <v>196421.67474516405</v>
      </c>
      <c r="AC97" s="163">
        <f t="shared" si="38"/>
        <v>965739.90083038982</v>
      </c>
      <c r="AD97" s="163">
        <f t="shared" si="38"/>
        <v>261895.56632688543</v>
      </c>
      <c r="AE97" s="163">
        <f t="shared" si="38"/>
        <v>0</v>
      </c>
      <c r="AF97" s="163">
        <f t="shared" si="38"/>
        <v>0</v>
      </c>
      <c r="AG97" s="163">
        <f t="shared" si="38"/>
        <v>0</v>
      </c>
      <c r="AH97" s="163">
        <f t="shared" si="38"/>
        <v>0</v>
      </c>
      <c r="AI97" s="163">
        <f t="shared" si="38"/>
        <v>0</v>
      </c>
      <c r="AJ97" s="163">
        <f t="shared" si="38"/>
        <v>0</v>
      </c>
      <c r="AK97" s="163">
        <f t="shared" si="38"/>
        <v>0</v>
      </c>
      <c r="AL97" s="163">
        <f t="shared" si="38"/>
        <v>0</v>
      </c>
      <c r="AM97" s="163">
        <f t="shared" si="38"/>
        <v>0</v>
      </c>
      <c r="AN97" s="163">
        <f t="shared" si="38"/>
        <v>0</v>
      </c>
      <c r="AO97" s="163">
        <f t="shared" si="38"/>
        <v>0</v>
      </c>
      <c r="AP97" s="163">
        <f t="shared" ref="AP97" si="39">AP$69 * $H81</f>
        <v>0</v>
      </c>
      <c r="AQ97" s="163">
        <f t="shared" si="38"/>
        <v>0</v>
      </c>
      <c r="AR97" s="74"/>
      <c r="AS97" s="73"/>
      <c r="AT97" s="42"/>
    </row>
    <row r="98" spans="1:46" x14ac:dyDescent="0.25">
      <c r="A98" s="73"/>
      <c r="B98" s="73"/>
      <c r="C98" s="73"/>
      <c r="D98" s="73"/>
      <c r="E98" s="73"/>
      <c r="F98" s="115" t="s">
        <v>194</v>
      </c>
      <c r="G98" s="115" t="str">
        <f>G$19</f>
        <v>£ per year</v>
      </c>
      <c r="H98" s="130"/>
      <c r="I98" s="130"/>
      <c r="J98" s="164">
        <f t="shared" ref="J98:AQ98" si="40">J$69 * $H82</f>
        <v>0</v>
      </c>
      <c r="K98" s="164">
        <f t="shared" si="40"/>
        <v>-208606.14782780712</v>
      </c>
      <c r="L98" s="164">
        <f t="shared" si="40"/>
        <v>4440330.8609062275</v>
      </c>
      <c r="M98" s="164">
        <f t="shared" si="40"/>
        <v>327809.66087227239</v>
      </c>
      <c r="N98" s="164">
        <f t="shared" si="40"/>
        <v>59601.756522231793</v>
      </c>
      <c r="O98" s="164">
        <f t="shared" si="40"/>
        <v>-2724.5913362978799</v>
      </c>
      <c r="P98" s="164">
        <f t="shared" si="40"/>
        <v>178805.26956669372</v>
      </c>
      <c r="Q98" s="164">
        <f t="shared" si="40"/>
        <v>1341039.5217502029</v>
      </c>
      <c r="R98" s="164">
        <f t="shared" si="40"/>
        <v>1460243.0347946652</v>
      </c>
      <c r="S98" s="164">
        <f t="shared" si="40"/>
        <v>2860884.3130671</v>
      </c>
      <c r="T98" s="164">
        <f t="shared" si="40"/>
        <v>566216.68696119683</v>
      </c>
      <c r="U98" s="164">
        <f t="shared" si="40"/>
        <v>298008.78261115623</v>
      </c>
      <c r="V98" s="164">
        <f t="shared" si="40"/>
        <v>208606.14782780936</v>
      </c>
      <c r="W98" s="164">
        <f t="shared" si="40"/>
        <v>357610.53913338744</v>
      </c>
      <c r="X98" s="164">
        <f t="shared" si="40"/>
        <v>1251636.886966856</v>
      </c>
      <c r="Y98" s="164">
        <f t="shared" si="40"/>
        <v>0</v>
      </c>
      <c r="Z98" s="164">
        <f t="shared" si="40"/>
        <v>0</v>
      </c>
      <c r="AA98" s="164">
        <f t="shared" si="40"/>
        <v>268207.90435004054</v>
      </c>
      <c r="AB98" s="164">
        <f t="shared" si="40"/>
        <v>357610.53913338744</v>
      </c>
      <c r="AC98" s="164">
        <f t="shared" si="40"/>
        <v>1758251.8174058213</v>
      </c>
      <c r="AD98" s="164">
        <f t="shared" si="40"/>
        <v>476814.05217784992</v>
      </c>
      <c r="AE98" s="164">
        <f t="shared" si="40"/>
        <v>0</v>
      </c>
      <c r="AF98" s="164">
        <f t="shared" si="40"/>
        <v>0</v>
      </c>
      <c r="AG98" s="164">
        <f t="shared" si="40"/>
        <v>0</v>
      </c>
      <c r="AH98" s="164">
        <f t="shared" si="40"/>
        <v>0</v>
      </c>
      <c r="AI98" s="164">
        <f t="shared" si="40"/>
        <v>0</v>
      </c>
      <c r="AJ98" s="164">
        <f t="shared" si="40"/>
        <v>0</v>
      </c>
      <c r="AK98" s="164">
        <f t="shared" si="40"/>
        <v>0</v>
      </c>
      <c r="AL98" s="164">
        <f t="shared" si="40"/>
        <v>0</v>
      </c>
      <c r="AM98" s="164">
        <f t="shared" si="40"/>
        <v>0</v>
      </c>
      <c r="AN98" s="164">
        <f t="shared" si="40"/>
        <v>0</v>
      </c>
      <c r="AO98" s="164">
        <f t="shared" si="40"/>
        <v>0</v>
      </c>
      <c r="AP98" s="164">
        <f t="shared" ref="AP98" si="41">AP$69 * $H82</f>
        <v>0</v>
      </c>
      <c r="AQ98" s="164">
        <f t="shared" si="40"/>
        <v>0</v>
      </c>
      <c r="AR98" s="74"/>
      <c r="AS98" s="73"/>
      <c r="AT98" s="42"/>
    </row>
    <row r="99" spans="1:46" x14ac:dyDescent="0.25">
      <c r="A99" s="73"/>
      <c r="B99" s="73"/>
      <c r="C99" s="73"/>
      <c r="D99" s="73"/>
      <c r="E99" s="73"/>
      <c r="F99" s="115" t="s">
        <v>41</v>
      </c>
      <c r="G99" s="115" t="str">
        <f>G$19</f>
        <v>£ per year</v>
      </c>
      <c r="H99" s="130"/>
      <c r="I99" s="130"/>
      <c r="J99" s="164">
        <f t="shared" ref="J99:AQ99" si="42">J$69 * $H83</f>
        <v>0</v>
      </c>
      <c r="K99" s="164">
        <f t="shared" si="42"/>
        <v>-51432.731344378044</v>
      </c>
      <c r="L99" s="164">
        <f t="shared" si="42"/>
        <v>1094782.4243303442</v>
      </c>
      <c r="M99" s="164">
        <f t="shared" si="42"/>
        <v>80822.863541166487</v>
      </c>
      <c r="N99" s="164">
        <f t="shared" si="42"/>
        <v>14695.06609839402</v>
      </c>
      <c r="O99" s="164">
        <f t="shared" si="42"/>
        <v>-671.7595606947358</v>
      </c>
      <c r="P99" s="164">
        <f t="shared" si="42"/>
        <v>44085.198295181646</v>
      </c>
      <c r="Q99" s="164">
        <f t="shared" si="42"/>
        <v>330638.98721386236</v>
      </c>
      <c r="R99" s="164">
        <f t="shared" si="42"/>
        <v>360029.11941065005</v>
      </c>
      <c r="S99" s="164">
        <f t="shared" si="42"/>
        <v>705363.17272290657</v>
      </c>
      <c r="T99" s="164">
        <f t="shared" si="42"/>
        <v>139603.12793474187</v>
      </c>
      <c r="U99" s="164">
        <f t="shared" si="42"/>
        <v>73475.33049196942</v>
      </c>
      <c r="V99" s="164">
        <f t="shared" si="42"/>
        <v>51432.73134437859</v>
      </c>
      <c r="W99" s="164">
        <f t="shared" si="42"/>
        <v>88170.396590363292</v>
      </c>
      <c r="X99" s="164">
        <f t="shared" si="42"/>
        <v>308596.38806627155</v>
      </c>
      <c r="Y99" s="164">
        <f t="shared" si="42"/>
        <v>0</v>
      </c>
      <c r="Z99" s="164">
        <f t="shared" si="42"/>
        <v>0</v>
      </c>
      <c r="AA99" s="164">
        <f t="shared" si="42"/>
        <v>66127.797442772469</v>
      </c>
      <c r="AB99" s="164">
        <f t="shared" si="42"/>
        <v>88170.396590363292</v>
      </c>
      <c r="AC99" s="164">
        <f t="shared" si="42"/>
        <v>433504.44990261947</v>
      </c>
      <c r="AD99" s="164">
        <f t="shared" si="42"/>
        <v>117560.52878715107</v>
      </c>
      <c r="AE99" s="164">
        <f t="shared" si="42"/>
        <v>0</v>
      </c>
      <c r="AF99" s="164">
        <f t="shared" si="42"/>
        <v>0</v>
      </c>
      <c r="AG99" s="164">
        <f t="shared" si="42"/>
        <v>0</v>
      </c>
      <c r="AH99" s="164">
        <f t="shared" si="42"/>
        <v>0</v>
      </c>
      <c r="AI99" s="164">
        <f t="shared" si="42"/>
        <v>0</v>
      </c>
      <c r="AJ99" s="164">
        <f t="shared" si="42"/>
        <v>0</v>
      </c>
      <c r="AK99" s="164">
        <f t="shared" si="42"/>
        <v>0</v>
      </c>
      <c r="AL99" s="164">
        <f t="shared" si="42"/>
        <v>0</v>
      </c>
      <c r="AM99" s="164">
        <f t="shared" si="42"/>
        <v>0</v>
      </c>
      <c r="AN99" s="164">
        <f t="shared" si="42"/>
        <v>0</v>
      </c>
      <c r="AO99" s="164">
        <f t="shared" si="42"/>
        <v>0</v>
      </c>
      <c r="AP99" s="164">
        <f t="shared" ref="AP99" si="43">AP$69 * $H83</f>
        <v>0</v>
      </c>
      <c r="AQ99" s="164">
        <f t="shared" si="42"/>
        <v>0</v>
      </c>
      <c r="AR99" s="74"/>
      <c r="AS99" s="73"/>
      <c r="AT99" s="42"/>
    </row>
    <row r="100" spans="1:46" x14ac:dyDescent="0.25">
      <c r="A100" s="73"/>
      <c r="B100" s="73"/>
      <c r="C100" s="73"/>
      <c r="D100" s="73"/>
      <c r="E100" s="73"/>
      <c r="F100" s="115" t="s">
        <v>40</v>
      </c>
      <c r="G100" s="115" t="str">
        <f>G$19</f>
        <v>£ per year</v>
      </c>
      <c r="H100" s="130"/>
      <c r="I100" s="130"/>
      <c r="J100" s="164">
        <f t="shared" ref="J100:AQ100" si="44">J$69 * $H84</f>
        <v>0</v>
      </c>
      <c r="K100" s="164">
        <f t="shared" si="44"/>
        <v>-183782.10064116513</v>
      </c>
      <c r="L100" s="164">
        <f t="shared" si="44"/>
        <v>3911933.2850762713</v>
      </c>
      <c r="M100" s="164">
        <f t="shared" si="44"/>
        <v>288800.44386469165</v>
      </c>
      <c r="N100" s="164">
        <f t="shared" si="44"/>
        <v>52509.171611762518</v>
      </c>
      <c r="O100" s="164">
        <f t="shared" si="44"/>
        <v>-2400.3660696849142</v>
      </c>
      <c r="P100" s="164">
        <f t="shared" si="44"/>
        <v>157527.5148352861</v>
      </c>
      <c r="Q100" s="164">
        <f t="shared" si="44"/>
        <v>1181456.3612646456</v>
      </c>
      <c r="R100" s="164">
        <f t="shared" si="44"/>
        <v>1286474.7044881694</v>
      </c>
      <c r="S100" s="164">
        <f t="shared" si="44"/>
        <v>2520440.2373645781</v>
      </c>
      <c r="T100" s="164">
        <f t="shared" si="44"/>
        <v>498837.13031173928</v>
      </c>
      <c r="U100" s="164">
        <f t="shared" si="44"/>
        <v>262545.85805881012</v>
      </c>
      <c r="V100" s="164">
        <f t="shared" si="44"/>
        <v>183782.10064116711</v>
      </c>
      <c r="W100" s="164">
        <f t="shared" si="44"/>
        <v>315055.0296705722</v>
      </c>
      <c r="X100" s="164">
        <f t="shared" si="44"/>
        <v>1102692.6038470026</v>
      </c>
      <c r="Y100" s="164">
        <f t="shared" si="44"/>
        <v>0</v>
      </c>
      <c r="Z100" s="164">
        <f t="shared" si="44"/>
        <v>0</v>
      </c>
      <c r="AA100" s="164">
        <f t="shared" si="44"/>
        <v>236291.27225292911</v>
      </c>
      <c r="AB100" s="164">
        <f t="shared" si="44"/>
        <v>315055.0296705722</v>
      </c>
      <c r="AC100" s="164">
        <f t="shared" si="44"/>
        <v>1549020.5625469796</v>
      </c>
      <c r="AD100" s="164">
        <f t="shared" si="44"/>
        <v>420073.37289409625</v>
      </c>
      <c r="AE100" s="164">
        <f t="shared" si="44"/>
        <v>0</v>
      </c>
      <c r="AF100" s="164">
        <f t="shared" si="44"/>
        <v>0</v>
      </c>
      <c r="AG100" s="164">
        <f t="shared" si="44"/>
        <v>0</v>
      </c>
      <c r="AH100" s="164">
        <f t="shared" si="44"/>
        <v>0</v>
      </c>
      <c r="AI100" s="164">
        <f t="shared" si="44"/>
        <v>0</v>
      </c>
      <c r="AJ100" s="164">
        <f t="shared" si="44"/>
        <v>0</v>
      </c>
      <c r="AK100" s="164">
        <f t="shared" si="44"/>
        <v>0</v>
      </c>
      <c r="AL100" s="164">
        <f t="shared" si="44"/>
        <v>0</v>
      </c>
      <c r="AM100" s="164">
        <f t="shared" si="44"/>
        <v>0</v>
      </c>
      <c r="AN100" s="164">
        <f t="shared" si="44"/>
        <v>0</v>
      </c>
      <c r="AO100" s="164">
        <f t="shared" si="44"/>
        <v>0</v>
      </c>
      <c r="AP100" s="164">
        <f t="shared" ref="AP100" si="45">AP$69 * $H84</f>
        <v>0</v>
      </c>
      <c r="AQ100" s="164">
        <f t="shared" si="44"/>
        <v>0</v>
      </c>
      <c r="AR100" s="74"/>
      <c r="AS100" s="73"/>
      <c r="AT100" s="42"/>
    </row>
    <row r="101" spans="1:46" x14ac:dyDescent="0.25">
      <c r="A101" s="73"/>
      <c r="B101" s="73"/>
      <c r="C101" s="73"/>
      <c r="D101" s="73"/>
      <c r="E101" s="73"/>
      <c r="F101" s="117" t="s">
        <v>166</v>
      </c>
      <c r="G101" s="117" t="str">
        <f>G$19</f>
        <v>£ per year</v>
      </c>
      <c r="H101" s="146"/>
      <c r="I101" s="147"/>
      <c r="J101" s="165">
        <f t="shared" ref="J101:AQ101" si="46">J$69 * $H85</f>
        <v>0</v>
      </c>
      <c r="K101" s="165">
        <f t="shared" si="46"/>
        <v>-141599.70991863104</v>
      </c>
      <c r="L101" s="165">
        <f t="shared" si="46"/>
        <v>3014050.9682680354</v>
      </c>
      <c r="M101" s="165">
        <f t="shared" si="46"/>
        <v>222513.82987213723</v>
      </c>
      <c r="N101" s="165">
        <f t="shared" si="46"/>
        <v>40457.059976752527</v>
      </c>
      <c r="O101" s="165">
        <f t="shared" si="46"/>
        <v>-1849.424606531984</v>
      </c>
      <c r="P101" s="165">
        <f t="shared" si="46"/>
        <v>121371.17993025646</v>
      </c>
      <c r="Q101" s="165">
        <f t="shared" si="46"/>
        <v>910283.84947692347</v>
      </c>
      <c r="R101" s="165">
        <f t="shared" si="46"/>
        <v>991197.96943042753</v>
      </c>
      <c r="S101" s="165">
        <f t="shared" si="46"/>
        <v>1941938.8788841036</v>
      </c>
      <c r="T101" s="165">
        <f t="shared" si="46"/>
        <v>384342.06977914547</v>
      </c>
      <c r="U101" s="165">
        <f t="shared" si="46"/>
        <v>202285.29988376077</v>
      </c>
      <c r="V101" s="165">
        <f t="shared" si="46"/>
        <v>141599.70991863252</v>
      </c>
      <c r="W101" s="165">
        <f t="shared" si="46"/>
        <v>242742.35986051292</v>
      </c>
      <c r="X101" s="165">
        <f t="shared" si="46"/>
        <v>849598.25951179524</v>
      </c>
      <c r="Y101" s="165">
        <f t="shared" si="46"/>
        <v>0</v>
      </c>
      <c r="Z101" s="165">
        <f t="shared" si="46"/>
        <v>0</v>
      </c>
      <c r="AA101" s="165">
        <f t="shared" si="46"/>
        <v>182056.76989538467</v>
      </c>
      <c r="AB101" s="165">
        <f t="shared" si="46"/>
        <v>242742.35986051292</v>
      </c>
      <c r="AC101" s="165">
        <f t="shared" si="46"/>
        <v>1193483.2693141883</v>
      </c>
      <c r="AD101" s="165">
        <f t="shared" si="46"/>
        <v>323656.47981401719</v>
      </c>
      <c r="AE101" s="165">
        <f t="shared" si="46"/>
        <v>0</v>
      </c>
      <c r="AF101" s="165">
        <f t="shared" si="46"/>
        <v>0</v>
      </c>
      <c r="AG101" s="165">
        <f t="shared" si="46"/>
        <v>0</v>
      </c>
      <c r="AH101" s="165">
        <f t="shared" si="46"/>
        <v>0</v>
      </c>
      <c r="AI101" s="165">
        <f t="shared" si="46"/>
        <v>0</v>
      </c>
      <c r="AJ101" s="165">
        <f t="shared" si="46"/>
        <v>0</v>
      </c>
      <c r="AK101" s="165">
        <f t="shared" si="46"/>
        <v>0</v>
      </c>
      <c r="AL101" s="165">
        <f t="shared" si="46"/>
        <v>0</v>
      </c>
      <c r="AM101" s="165">
        <f t="shared" si="46"/>
        <v>0</v>
      </c>
      <c r="AN101" s="165">
        <f t="shared" si="46"/>
        <v>0</v>
      </c>
      <c r="AO101" s="165">
        <f t="shared" si="46"/>
        <v>0</v>
      </c>
      <c r="AP101" s="165">
        <f t="shared" ref="AP101" si="47">AP$69 * $H85</f>
        <v>0</v>
      </c>
      <c r="AQ101" s="165">
        <f t="shared" si="46"/>
        <v>0</v>
      </c>
      <c r="AR101" s="74"/>
      <c r="AS101" s="73"/>
      <c r="AT101" s="42"/>
    </row>
    <row r="102" spans="1:46" x14ac:dyDescent="0.25">
      <c r="A102" s="73"/>
      <c r="B102" s="73"/>
      <c r="C102" s="73"/>
      <c r="D102" s="73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3"/>
      <c r="AT102" s="42"/>
    </row>
    <row r="103" spans="1:46" s="17" customFormat="1" x14ac:dyDescent="0.25">
      <c r="A103" s="73"/>
      <c r="B103" s="107" t="s">
        <v>748</v>
      </c>
      <c r="C103" s="107"/>
      <c r="D103" s="107"/>
      <c r="E103" s="107"/>
      <c r="F103" s="107"/>
      <c r="G103" s="107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7"/>
      <c r="AT103" s="42"/>
    </row>
    <row r="104" spans="1:46" s="17" customFormat="1" x14ac:dyDescent="0.25">
      <c r="A104" s="73"/>
      <c r="B104" s="73"/>
      <c r="C104" s="73"/>
      <c r="D104" s="73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3"/>
      <c r="AT104" s="42"/>
    </row>
    <row r="105" spans="1:46" s="17" customFormat="1" x14ac:dyDescent="0.25">
      <c r="A105" s="73"/>
      <c r="B105" s="73"/>
      <c r="C105" s="109" t="s">
        <v>749</v>
      </c>
      <c r="D105" s="109"/>
      <c r="E105" s="73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3"/>
      <c r="AT105" s="42"/>
    </row>
    <row r="106" spans="1:46" s="17" customFormat="1" x14ac:dyDescent="0.25">
      <c r="A106" s="73"/>
      <c r="B106" s="73"/>
      <c r="C106" s="109"/>
      <c r="D106" s="109"/>
      <c r="E106" s="73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3"/>
      <c r="AT106" s="42"/>
    </row>
    <row r="107" spans="1:46" s="1" customFormat="1" x14ac:dyDescent="0.25">
      <c r="A107" s="73"/>
      <c r="B107" s="73"/>
      <c r="C107" s="110" t="s">
        <v>746</v>
      </c>
      <c r="D107" s="110"/>
      <c r="E107" s="110"/>
      <c r="F107" s="110"/>
      <c r="G107" s="110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0"/>
      <c r="AT107" s="42"/>
    </row>
    <row r="108" spans="1:46" s="17" customFormat="1" x14ac:dyDescent="0.25">
      <c r="A108" s="73"/>
      <c r="B108" s="73"/>
      <c r="C108" s="109"/>
      <c r="D108" s="109"/>
      <c r="E108" s="73"/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3"/>
      <c r="AT108" s="42"/>
    </row>
    <row r="109" spans="1:46" s="17" customFormat="1" x14ac:dyDescent="0.25">
      <c r="A109" s="73"/>
      <c r="B109" s="73"/>
      <c r="C109" s="109"/>
      <c r="D109" s="109"/>
      <c r="E109" s="73" t="s">
        <v>248</v>
      </c>
      <c r="F109" s="73"/>
      <c r="G109" s="73"/>
      <c r="H109" s="74"/>
      <c r="I109" s="74" t="s">
        <v>314</v>
      </c>
      <c r="J109" s="130">
        <f t="shared" ref="J109:AQ109" si="48">J62-J69</f>
        <v>-6950000.0000000009</v>
      </c>
      <c r="K109" s="130">
        <f t="shared" si="48"/>
        <v>0</v>
      </c>
      <c r="L109" s="130">
        <f t="shared" si="48"/>
        <v>0</v>
      </c>
      <c r="M109" s="130">
        <f t="shared" si="48"/>
        <v>0</v>
      </c>
      <c r="N109" s="130">
        <f t="shared" si="48"/>
        <v>0</v>
      </c>
      <c r="O109" s="130">
        <f t="shared" si="48"/>
        <v>0</v>
      </c>
      <c r="P109" s="130">
        <f t="shared" si="48"/>
        <v>0</v>
      </c>
      <c r="Q109" s="130">
        <f t="shared" si="48"/>
        <v>0</v>
      </c>
      <c r="R109" s="130">
        <f t="shared" si="48"/>
        <v>0</v>
      </c>
      <c r="S109" s="130">
        <f t="shared" si="48"/>
        <v>0</v>
      </c>
      <c r="T109" s="130">
        <f t="shared" si="48"/>
        <v>0</v>
      </c>
      <c r="U109" s="130">
        <f t="shared" si="48"/>
        <v>0</v>
      </c>
      <c r="V109" s="130">
        <f t="shared" si="48"/>
        <v>0</v>
      </c>
      <c r="W109" s="130">
        <f t="shared" si="48"/>
        <v>0</v>
      </c>
      <c r="X109" s="130">
        <f t="shared" si="48"/>
        <v>0</v>
      </c>
      <c r="Y109" s="130">
        <f t="shared" si="48"/>
        <v>6900000</v>
      </c>
      <c r="Z109" s="130">
        <f t="shared" si="48"/>
        <v>3000000</v>
      </c>
      <c r="AA109" s="130">
        <f t="shared" si="48"/>
        <v>0</v>
      </c>
      <c r="AB109" s="130">
        <f t="shared" si="48"/>
        <v>0</v>
      </c>
      <c r="AC109" s="130">
        <f t="shared" si="48"/>
        <v>0</v>
      </c>
      <c r="AD109" s="130">
        <f t="shared" si="48"/>
        <v>0</v>
      </c>
      <c r="AE109" s="130">
        <f t="shared" si="48"/>
        <v>7300000.0000000009</v>
      </c>
      <c r="AF109" s="130">
        <f t="shared" si="48"/>
        <v>20500000</v>
      </c>
      <c r="AG109" s="130">
        <f t="shared" si="48"/>
        <v>5800000.0000000009</v>
      </c>
      <c r="AH109" s="130">
        <f t="shared" si="48"/>
        <v>25200000</v>
      </c>
      <c r="AI109" s="130">
        <f t="shared" si="48"/>
        <v>300000</v>
      </c>
      <c r="AJ109" s="130">
        <f t="shared" si="48"/>
        <v>100000</v>
      </c>
      <c r="AK109" s="130">
        <f t="shared" si="48"/>
        <v>1099999.9999999998</v>
      </c>
      <c r="AL109" s="130">
        <f t="shared" si="48"/>
        <v>34000000</v>
      </c>
      <c r="AM109" s="130">
        <f t="shared" si="48"/>
        <v>18017120.399999999</v>
      </c>
      <c r="AN109" s="130">
        <f t="shared" si="48"/>
        <v>5167573.9700000007</v>
      </c>
      <c r="AO109" s="130">
        <f t="shared" si="48"/>
        <v>0</v>
      </c>
      <c r="AP109" s="130">
        <f t="shared" si="48"/>
        <v>719996</v>
      </c>
      <c r="AQ109" s="130">
        <f t="shared" si="48"/>
        <v>-11484694.370000085</v>
      </c>
      <c r="AR109" s="74"/>
      <c r="AS109" s="73" t="s">
        <v>752</v>
      </c>
      <c r="AT109" s="42"/>
    </row>
    <row r="110" spans="1:46" s="1" customFormat="1" x14ac:dyDescent="0.25">
      <c r="A110" s="73"/>
      <c r="B110" s="73"/>
      <c r="C110" s="109"/>
      <c r="D110" s="109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3"/>
      <c r="AT110" s="42"/>
    </row>
    <row r="111" spans="1:46" s="17" customFormat="1" x14ac:dyDescent="0.25">
      <c r="A111" s="73"/>
      <c r="B111" s="73"/>
      <c r="C111" s="73"/>
      <c r="D111" s="73"/>
      <c r="E111" s="115" t="str">
        <f>'Fixed inputs'!E53</f>
        <v>Allocation rules allocation key, by cost category</v>
      </c>
      <c r="F111" s="73"/>
      <c r="G111" s="115" t="str">
        <f>'Fixed inputs'!G100</f>
        <v>%</v>
      </c>
      <c r="H111" s="130"/>
      <c r="I111" s="130"/>
      <c r="J111" s="160"/>
      <c r="K111" s="152" t="str">
        <f>'Fixed inputs'!H55</f>
        <v>MEAV</v>
      </c>
      <c r="L111" s="152" t="str">
        <f>'Fixed inputs'!H56</f>
        <v>MEAV</v>
      </c>
      <c r="M111" s="152" t="str">
        <f>'Fixed inputs'!H57</f>
        <v>MEAV</v>
      </c>
      <c r="N111" s="152" t="str">
        <f>'Fixed inputs'!H58</f>
        <v>MEAV</v>
      </c>
      <c r="O111" s="152" t="str">
        <f>'Fixed inputs'!H59</f>
        <v>MEAV</v>
      </c>
      <c r="P111" s="152" t="str">
        <f>'Fixed inputs'!H60</f>
        <v>MEAV</v>
      </c>
      <c r="Q111" s="152" t="str">
        <f>'Fixed inputs'!H61</f>
        <v>MEAV</v>
      </c>
      <c r="R111" s="152" t="str">
        <f>'Fixed inputs'!H62</f>
        <v>MEAV</v>
      </c>
      <c r="S111" s="152" t="str">
        <f>'Fixed inputs'!H63</f>
        <v>MEAV</v>
      </c>
      <c r="T111" s="152" t="str">
        <f>'Fixed inputs'!H64</f>
        <v>MEAV</v>
      </c>
      <c r="U111" s="152" t="str">
        <f>'Fixed inputs'!H65</f>
        <v>MEAV</v>
      </c>
      <c r="V111" s="152" t="str">
        <f>'Fixed inputs'!H66</f>
        <v>MEAV</v>
      </c>
      <c r="W111" s="152" t="str">
        <f>'Fixed inputs'!H67</f>
        <v>MEAV</v>
      </c>
      <c r="X111" s="152" t="str">
        <f>'Fixed inputs'!H68</f>
        <v>MEAV</v>
      </c>
      <c r="Y111" s="152" t="str">
        <f>'Fixed inputs'!H69</f>
        <v>Do not allocate</v>
      </c>
      <c r="Z111" s="152" t="str">
        <f>'Fixed inputs'!H70</f>
        <v>Do not allocate</v>
      </c>
      <c r="AA111" s="152" t="str">
        <f>'Fixed inputs'!H71</f>
        <v>MEAV</v>
      </c>
      <c r="AB111" s="152" t="str">
        <f>'Fixed inputs'!H72</f>
        <v>MEAV</v>
      </c>
      <c r="AC111" s="152" t="str">
        <f>'Fixed inputs'!H73</f>
        <v>MEAV</v>
      </c>
      <c r="AD111" s="152" t="str">
        <f>'Fixed inputs'!H74</f>
        <v>MEAV</v>
      </c>
      <c r="AE111" s="152" t="str">
        <f>'Fixed inputs'!H75</f>
        <v>Do not allocate</v>
      </c>
      <c r="AF111" s="152" t="str">
        <f>'Fixed inputs'!H76</f>
        <v>Do not allocate</v>
      </c>
      <c r="AG111" s="152" t="str">
        <f>'Fixed inputs'!H77</f>
        <v>Do not allocate</v>
      </c>
      <c r="AH111" s="152" t="str">
        <f>'Fixed inputs'!H78</f>
        <v>Do not allocate</v>
      </c>
      <c r="AI111" s="152" t="str">
        <f>'Fixed inputs'!H79</f>
        <v>Do not allocate</v>
      </c>
      <c r="AJ111" s="152" t="str">
        <f>'Fixed inputs'!H80</f>
        <v>Do not allocate</v>
      </c>
      <c r="AK111" s="152" t="str">
        <f>'Fixed inputs'!H81</f>
        <v>Do not allocate</v>
      </c>
      <c r="AL111" s="152" t="str">
        <f>'Fixed inputs'!H82</f>
        <v>Do not allocate</v>
      </c>
      <c r="AM111" s="152" t="str">
        <f>'Fixed inputs'!H83</f>
        <v>Do not allocate</v>
      </c>
      <c r="AN111" s="152" t="str">
        <f>'Fixed inputs'!H84</f>
        <v>Deduct from revenue</v>
      </c>
      <c r="AO111" s="152" t="str">
        <f>'Fixed inputs'!H85</f>
        <v>Do not allocate</v>
      </c>
      <c r="AP111" s="152" t="str">
        <f>'Fixed inputs'!H86</f>
        <v>LV Services</v>
      </c>
      <c r="AQ111" s="152" t="str">
        <f>'Fixed inputs'!H87</f>
        <v>Do not allocate</v>
      </c>
      <c r="AR111" s="74"/>
      <c r="AS111" s="73"/>
      <c r="AT111" s="42"/>
    </row>
    <row r="112" spans="1:46" s="17" customFormat="1" x14ac:dyDescent="0.25">
      <c r="A112" s="73"/>
      <c r="B112" s="73"/>
      <c r="C112" s="73"/>
      <c r="D112" s="73"/>
      <c r="E112" s="109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3"/>
      <c r="AT112" s="42"/>
    </row>
    <row r="113" spans="1:46" s="17" customFormat="1" x14ac:dyDescent="0.25">
      <c r="A113" s="73"/>
      <c r="B113" s="73"/>
      <c r="C113" s="73"/>
      <c r="D113" s="73"/>
      <c r="E113" s="115" t="str">
        <f>'Fixed inputs'!E51</f>
        <v>LV Services allocation option name</v>
      </c>
      <c r="F113" s="73"/>
      <c r="G113" s="115" t="s">
        <v>354</v>
      </c>
      <c r="H113" s="152" t="str">
        <f>'Fixed inputs'!H51</f>
        <v>LV Services</v>
      </c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74"/>
      <c r="AS113" s="73"/>
      <c r="AT113" s="42"/>
    </row>
    <row r="114" spans="1:46" s="17" customFormat="1" x14ac:dyDescent="0.25">
      <c r="A114" s="115"/>
      <c r="B114" s="73"/>
      <c r="C114" s="73"/>
      <c r="D114" s="73"/>
      <c r="E114" s="220" t="s">
        <v>744</v>
      </c>
      <c r="F114" s="101"/>
      <c r="G114" s="115" t="s">
        <v>191</v>
      </c>
      <c r="H114" s="168"/>
      <c r="I114" s="169" t="s">
        <v>314</v>
      </c>
      <c r="J114" s="170">
        <f t="shared" ref="J114:AQ114" si="49">IF($H113 = J111, 1, 0)</f>
        <v>0</v>
      </c>
      <c r="K114" s="170">
        <f t="shared" si="49"/>
        <v>0</v>
      </c>
      <c r="L114" s="170">
        <f t="shared" si="49"/>
        <v>0</v>
      </c>
      <c r="M114" s="170">
        <f t="shared" si="49"/>
        <v>0</v>
      </c>
      <c r="N114" s="170">
        <f t="shared" si="49"/>
        <v>0</v>
      </c>
      <c r="O114" s="170">
        <f t="shared" si="49"/>
        <v>0</v>
      </c>
      <c r="P114" s="170">
        <f t="shared" si="49"/>
        <v>0</v>
      </c>
      <c r="Q114" s="170">
        <f t="shared" si="49"/>
        <v>0</v>
      </c>
      <c r="R114" s="170">
        <f t="shared" si="49"/>
        <v>0</v>
      </c>
      <c r="S114" s="170">
        <f t="shared" si="49"/>
        <v>0</v>
      </c>
      <c r="T114" s="170">
        <f t="shared" si="49"/>
        <v>0</v>
      </c>
      <c r="U114" s="170">
        <f t="shared" si="49"/>
        <v>0</v>
      </c>
      <c r="V114" s="170">
        <f t="shared" si="49"/>
        <v>0</v>
      </c>
      <c r="W114" s="170">
        <f t="shared" si="49"/>
        <v>0</v>
      </c>
      <c r="X114" s="170">
        <f t="shared" si="49"/>
        <v>0</v>
      </c>
      <c r="Y114" s="170">
        <f t="shared" si="49"/>
        <v>0</v>
      </c>
      <c r="Z114" s="170">
        <f t="shared" si="49"/>
        <v>0</v>
      </c>
      <c r="AA114" s="170">
        <f t="shared" si="49"/>
        <v>0</v>
      </c>
      <c r="AB114" s="170">
        <f t="shared" si="49"/>
        <v>0</v>
      </c>
      <c r="AC114" s="170">
        <f t="shared" si="49"/>
        <v>0</v>
      </c>
      <c r="AD114" s="170">
        <f t="shared" si="49"/>
        <v>0</v>
      </c>
      <c r="AE114" s="170">
        <f t="shared" si="49"/>
        <v>0</v>
      </c>
      <c r="AF114" s="170">
        <f t="shared" si="49"/>
        <v>0</v>
      </c>
      <c r="AG114" s="170">
        <f t="shared" si="49"/>
        <v>0</v>
      </c>
      <c r="AH114" s="170">
        <f t="shared" si="49"/>
        <v>0</v>
      </c>
      <c r="AI114" s="170">
        <f t="shared" si="49"/>
        <v>0</v>
      </c>
      <c r="AJ114" s="170">
        <f t="shared" si="49"/>
        <v>0</v>
      </c>
      <c r="AK114" s="170">
        <f t="shared" si="49"/>
        <v>0</v>
      </c>
      <c r="AL114" s="170">
        <f t="shared" si="49"/>
        <v>0</v>
      </c>
      <c r="AM114" s="170">
        <f t="shared" si="49"/>
        <v>0</v>
      </c>
      <c r="AN114" s="170">
        <f t="shared" si="49"/>
        <v>0</v>
      </c>
      <c r="AO114" s="170">
        <f t="shared" si="49"/>
        <v>0</v>
      </c>
      <c r="AP114" s="170">
        <f t="shared" si="49"/>
        <v>1</v>
      </c>
      <c r="AQ114" s="170">
        <f t="shared" si="49"/>
        <v>0</v>
      </c>
      <c r="AR114" s="74"/>
      <c r="AS114" s="73" t="s">
        <v>752</v>
      </c>
      <c r="AT114" s="42"/>
    </row>
    <row r="115" spans="1:46" s="17" customFormat="1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3"/>
      <c r="AT115" s="42"/>
    </row>
    <row r="116" spans="1:46" s="17" customFormat="1" x14ac:dyDescent="0.25">
      <c r="A116" s="115"/>
      <c r="B116" s="73"/>
      <c r="C116" s="73"/>
      <c r="D116" s="73"/>
      <c r="E116" s="216" t="s">
        <v>750</v>
      </c>
      <c r="F116" s="73"/>
      <c r="G116" s="115" t="str">
        <f>G$19</f>
        <v>£ per year</v>
      </c>
      <c r="H116" s="130"/>
      <c r="I116" s="143" t="s">
        <v>314</v>
      </c>
      <c r="J116" s="130">
        <f>J109 * J114</f>
        <v>0</v>
      </c>
      <c r="K116" s="130">
        <f t="shared" ref="K116:AQ116" si="50">K109 * K114</f>
        <v>0</v>
      </c>
      <c r="L116" s="130">
        <f t="shared" si="50"/>
        <v>0</v>
      </c>
      <c r="M116" s="130">
        <f t="shared" si="50"/>
        <v>0</v>
      </c>
      <c r="N116" s="130">
        <f t="shared" si="50"/>
        <v>0</v>
      </c>
      <c r="O116" s="130">
        <f t="shared" si="50"/>
        <v>0</v>
      </c>
      <c r="P116" s="130">
        <f t="shared" si="50"/>
        <v>0</v>
      </c>
      <c r="Q116" s="130">
        <f t="shared" si="50"/>
        <v>0</v>
      </c>
      <c r="R116" s="130">
        <f t="shared" si="50"/>
        <v>0</v>
      </c>
      <c r="S116" s="130">
        <f t="shared" si="50"/>
        <v>0</v>
      </c>
      <c r="T116" s="130">
        <f t="shared" si="50"/>
        <v>0</v>
      </c>
      <c r="U116" s="130">
        <f t="shared" si="50"/>
        <v>0</v>
      </c>
      <c r="V116" s="130">
        <f t="shared" si="50"/>
        <v>0</v>
      </c>
      <c r="W116" s="130">
        <f t="shared" si="50"/>
        <v>0</v>
      </c>
      <c r="X116" s="130">
        <f t="shared" si="50"/>
        <v>0</v>
      </c>
      <c r="Y116" s="130">
        <f t="shared" si="50"/>
        <v>0</v>
      </c>
      <c r="Z116" s="130">
        <f t="shared" si="50"/>
        <v>0</v>
      </c>
      <c r="AA116" s="130">
        <f t="shared" si="50"/>
        <v>0</v>
      </c>
      <c r="AB116" s="130">
        <f t="shared" si="50"/>
        <v>0</v>
      </c>
      <c r="AC116" s="130">
        <f t="shared" si="50"/>
        <v>0</v>
      </c>
      <c r="AD116" s="130">
        <f t="shared" si="50"/>
        <v>0</v>
      </c>
      <c r="AE116" s="130">
        <f t="shared" si="50"/>
        <v>0</v>
      </c>
      <c r="AF116" s="130">
        <f t="shared" si="50"/>
        <v>0</v>
      </c>
      <c r="AG116" s="130">
        <f t="shared" si="50"/>
        <v>0</v>
      </c>
      <c r="AH116" s="130">
        <f t="shared" si="50"/>
        <v>0</v>
      </c>
      <c r="AI116" s="130">
        <f t="shared" si="50"/>
        <v>0</v>
      </c>
      <c r="AJ116" s="130">
        <f t="shared" si="50"/>
        <v>0</v>
      </c>
      <c r="AK116" s="130">
        <f t="shared" si="50"/>
        <v>0</v>
      </c>
      <c r="AL116" s="130">
        <f t="shared" si="50"/>
        <v>0</v>
      </c>
      <c r="AM116" s="130">
        <f t="shared" si="50"/>
        <v>0</v>
      </c>
      <c r="AN116" s="130">
        <f t="shared" si="50"/>
        <v>0</v>
      </c>
      <c r="AO116" s="130">
        <f t="shared" si="50"/>
        <v>0</v>
      </c>
      <c r="AP116" s="130">
        <f t="shared" si="50"/>
        <v>719996</v>
      </c>
      <c r="AQ116" s="130">
        <f t="shared" si="50"/>
        <v>0</v>
      </c>
      <c r="AR116" s="74"/>
      <c r="AS116" s="73" t="s">
        <v>752</v>
      </c>
      <c r="AT116" s="42"/>
    </row>
    <row r="117" spans="1:46" s="17" customFormat="1" x14ac:dyDescent="0.25">
      <c r="A117" s="115"/>
      <c r="B117" s="73"/>
      <c r="C117" s="73"/>
      <c r="D117" s="73"/>
      <c r="E117" s="216"/>
      <c r="F117" s="73"/>
      <c r="G117" s="115"/>
      <c r="H117" s="130"/>
      <c r="I117" s="143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74"/>
      <c r="AS117" s="73"/>
      <c r="AT117" s="42"/>
    </row>
    <row r="118" spans="1:46" s="17" customFormat="1" x14ac:dyDescent="0.25">
      <c r="A118" s="115"/>
      <c r="B118" s="73"/>
      <c r="C118" s="73"/>
      <c r="D118" s="73"/>
      <c r="E118" s="216" t="s">
        <v>751</v>
      </c>
      <c r="F118" s="73"/>
      <c r="G118" s="216" t="s">
        <v>231</v>
      </c>
      <c r="H118" s="223"/>
      <c r="I118" s="224"/>
      <c r="J118" s="136">
        <f>IF( AND( SUM( J19:J22 ) &lt;&gt; 0, J114 &lt;&gt; 0), 1, 0)</f>
        <v>0</v>
      </c>
      <c r="K118" s="136">
        <f t="shared" ref="K118:AQ118" si="51">IF( AND( SUM( K19:K22 ) &lt;&gt; 0, K114 &lt;&gt; 0), 1, 0)</f>
        <v>0</v>
      </c>
      <c r="L118" s="136">
        <f t="shared" si="51"/>
        <v>0</v>
      </c>
      <c r="M118" s="136">
        <f t="shared" si="51"/>
        <v>0</v>
      </c>
      <c r="N118" s="136">
        <f t="shared" si="51"/>
        <v>0</v>
      </c>
      <c r="O118" s="136">
        <f t="shared" si="51"/>
        <v>0</v>
      </c>
      <c r="P118" s="136">
        <f t="shared" si="51"/>
        <v>0</v>
      </c>
      <c r="Q118" s="136">
        <f t="shared" si="51"/>
        <v>0</v>
      </c>
      <c r="R118" s="136">
        <f t="shared" si="51"/>
        <v>0</v>
      </c>
      <c r="S118" s="136">
        <f t="shared" si="51"/>
        <v>0</v>
      </c>
      <c r="T118" s="136">
        <f t="shared" si="51"/>
        <v>0</v>
      </c>
      <c r="U118" s="136">
        <f t="shared" si="51"/>
        <v>0</v>
      </c>
      <c r="V118" s="136">
        <f t="shared" si="51"/>
        <v>0</v>
      </c>
      <c r="W118" s="136">
        <f t="shared" si="51"/>
        <v>0</v>
      </c>
      <c r="X118" s="136">
        <f t="shared" si="51"/>
        <v>0</v>
      </c>
      <c r="Y118" s="136">
        <f t="shared" si="51"/>
        <v>0</v>
      </c>
      <c r="Z118" s="136">
        <f t="shared" si="51"/>
        <v>0</v>
      </c>
      <c r="AA118" s="136">
        <f t="shared" si="51"/>
        <v>0</v>
      </c>
      <c r="AB118" s="136">
        <f t="shared" si="51"/>
        <v>0</v>
      </c>
      <c r="AC118" s="136">
        <f t="shared" si="51"/>
        <v>0</v>
      </c>
      <c r="AD118" s="136">
        <f t="shared" si="51"/>
        <v>0</v>
      </c>
      <c r="AE118" s="136">
        <f t="shared" si="51"/>
        <v>0</v>
      </c>
      <c r="AF118" s="136">
        <f t="shared" si="51"/>
        <v>0</v>
      </c>
      <c r="AG118" s="136">
        <f t="shared" si="51"/>
        <v>0</v>
      </c>
      <c r="AH118" s="136">
        <f t="shared" si="51"/>
        <v>0</v>
      </c>
      <c r="AI118" s="136">
        <f t="shared" si="51"/>
        <v>0</v>
      </c>
      <c r="AJ118" s="136">
        <f t="shared" si="51"/>
        <v>0</v>
      </c>
      <c r="AK118" s="136">
        <f t="shared" si="51"/>
        <v>0</v>
      </c>
      <c r="AL118" s="136">
        <f t="shared" si="51"/>
        <v>0</v>
      </c>
      <c r="AM118" s="136">
        <f t="shared" si="51"/>
        <v>0</v>
      </c>
      <c r="AN118" s="136">
        <f t="shared" si="51"/>
        <v>0</v>
      </c>
      <c r="AO118" s="136">
        <f t="shared" si="51"/>
        <v>0</v>
      </c>
      <c r="AP118" s="136">
        <f t="shared" si="51"/>
        <v>0</v>
      </c>
      <c r="AQ118" s="136">
        <f t="shared" si="51"/>
        <v>0</v>
      </c>
      <c r="AR118" s="74"/>
      <c r="AS118" s="73"/>
      <c r="AT118" s="42"/>
    </row>
    <row r="119" spans="1:46" s="17" customFormat="1" x14ac:dyDescent="0.25">
      <c r="A119" s="115"/>
      <c r="B119" s="73"/>
      <c r="C119" s="73"/>
      <c r="D119" s="73"/>
      <c r="E119" s="216" t="s">
        <v>232</v>
      </c>
      <c r="F119" s="73"/>
      <c r="G119" s="216" t="s">
        <v>231</v>
      </c>
      <c r="H119" s="136">
        <f>SUM(J118:AQ118)</f>
        <v>0</v>
      </c>
      <c r="I119" s="224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  <c r="AO119" s="223"/>
      <c r="AP119" s="223"/>
      <c r="AQ119" s="223"/>
      <c r="AR119" s="74"/>
      <c r="AS119" s="73"/>
      <c r="AT119" s="42"/>
    </row>
    <row r="120" spans="1:46" s="17" customFormat="1" x14ac:dyDescent="0.25">
      <c r="A120" s="73"/>
      <c r="B120" s="73"/>
      <c r="C120" s="73"/>
      <c r="D120" s="73"/>
      <c r="E120" s="109"/>
      <c r="F120" s="73"/>
      <c r="G120" s="73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3"/>
      <c r="AT120" s="42"/>
    </row>
    <row r="121" spans="1:46" x14ac:dyDescent="0.25">
      <c r="A121" s="73"/>
      <c r="B121" s="107" t="s">
        <v>271</v>
      </c>
      <c r="C121" s="107"/>
      <c r="D121" s="107"/>
      <c r="E121" s="107"/>
      <c r="F121" s="107"/>
      <c r="G121" s="107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7"/>
      <c r="AT121" s="42"/>
    </row>
    <row r="122" spans="1:46" x14ac:dyDescent="0.25">
      <c r="A122" s="73"/>
      <c r="B122" s="73"/>
      <c r="C122" s="73"/>
      <c r="D122" s="73"/>
      <c r="E122" s="73"/>
      <c r="F122" s="73"/>
      <c r="G122" s="73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3"/>
      <c r="AT122" s="42"/>
    </row>
    <row r="123" spans="1:46" x14ac:dyDescent="0.25">
      <c r="A123" s="73"/>
      <c r="B123" s="73"/>
      <c r="C123" s="109" t="s">
        <v>718</v>
      </c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3"/>
      <c r="AT123" s="42"/>
    </row>
    <row r="124" spans="1:46" x14ac:dyDescent="0.25">
      <c r="A124" s="73"/>
      <c r="B124" s="73"/>
      <c r="C124" s="109" t="s">
        <v>458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3"/>
      <c r="AT124" s="42"/>
    </row>
    <row r="125" spans="1:46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3"/>
      <c r="AT125" s="42"/>
    </row>
    <row r="126" spans="1:46" s="17" customFormat="1" x14ac:dyDescent="0.25">
      <c r="A126" s="73"/>
      <c r="B126" s="73"/>
      <c r="C126" s="110" t="s">
        <v>745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0"/>
      <c r="AT126" s="42"/>
    </row>
    <row r="127" spans="1:46" s="17" customFormat="1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3"/>
      <c r="AT127" s="42"/>
    </row>
    <row r="128" spans="1:46" x14ac:dyDescent="0.25">
      <c r="A128" s="115"/>
      <c r="B128" s="73"/>
      <c r="C128" s="73"/>
      <c r="D128" s="73"/>
      <c r="E128" s="112" t="s">
        <v>269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115" t="s">
        <v>606</v>
      </c>
      <c r="AT128" s="42"/>
    </row>
    <row r="129" spans="1:46" x14ac:dyDescent="0.25">
      <c r="A129" s="73"/>
      <c r="B129" s="73"/>
      <c r="C129" s="73"/>
      <c r="D129" s="73"/>
      <c r="E129" s="73"/>
      <c r="F129" s="113" t="s">
        <v>287</v>
      </c>
      <c r="G129" s="113" t="str">
        <f>G$19</f>
        <v>£ per year</v>
      </c>
      <c r="H129" s="145"/>
      <c r="I129" s="145"/>
      <c r="J129" s="221">
        <f t="shared" ref="J129:AQ129" si="52">J45 + J90 + J116</f>
        <v>0</v>
      </c>
      <c r="K129" s="221">
        <f t="shared" si="52"/>
        <v>4142282.9776399089</v>
      </c>
      <c r="L129" s="221">
        <f t="shared" si="52"/>
        <v>2385931.7535237321</v>
      </c>
      <c r="M129" s="221">
        <f t="shared" si="52"/>
        <v>3189657.3389154007</v>
      </c>
      <c r="N129" s="221">
        <f t="shared" si="52"/>
        <v>457463.30269361567</v>
      </c>
      <c r="O129" s="221">
        <f t="shared" si="52"/>
        <v>989775.43340050057</v>
      </c>
      <c r="P129" s="221">
        <f t="shared" si="52"/>
        <v>96077.788732499292</v>
      </c>
      <c r="Q129" s="221">
        <f t="shared" si="52"/>
        <v>720583.41549374466</v>
      </c>
      <c r="R129" s="221">
        <f t="shared" si="52"/>
        <v>784635.27464874403</v>
      </c>
      <c r="S129" s="221">
        <f t="shared" si="52"/>
        <v>1537244.6197199889</v>
      </c>
      <c r="T129" s="221">
        <f t="shared" si="52"/>
        <v>304246.33098624775</v>
      </c>
      <c r="U129" s="221">
        <f t="shared" si="52"/>
        <v>160129.64788749881</v>
      </c>
      <c r="V129" s="221">
        <f t="shared" si="52"/>
        <v>112090.75352124916</v>
      </c>
      <c r="W129" s="221">
        <f t="shared" si="52"/>
        <v>192155.57746499858</v>
      </c>
      <c r="X129" s="221">
        <f t="shared" si="52"/>
        <v>672544.52112749498</v>
      </c>
      <c r="Y129" s="221">
        <f t="shared" si="52"/>
        <v>0</v>
      </c>
      <c r="Z129" s="221">
        <f t="shared" si="52"/>
        <v>0</v>
      </c>
      <c r="AA129" s="221">
        <f t="shared" si="52"/>
        <v>144116.68309874891</v>
      </c>
      <c r="AB129" s="221">
        <f t="shared" si="52"/>
        <v>192155.57746499858</v>
      </c>
      <c r="AC129" s="221">
        <f t="shared" si="52"/>
        <v>944764.92253624287</v>
      </c>
      <c r="AD129" s="221">
        <f t="shared" si="52"/>
        <v>256207.4366199981</v>
      </c>
      <c r="AE129" s="221">
        <f t="shared" si="52"/>
        <v>0</v>
      </c>
      <c r="AF129" s="221">
        <f t="shared" si="52"/>
        <v>0</v>
      </c>
      <c r="AG129" s="221">
        <f t="shared" si="52"/>
        <v>0</v>
      </c>
      <c r="AH129" s="221">
        <f t="shared" si="52"/>
        <v>0</v>
      </c>
      <c r="AI129" s="221">
        <f t="shared" si="52"/>
        <v>0</v>
      </c>
      <c r="AJ129" s="221">
        <f t="shared" si="52"/>
        <v>0</v>
      </c>
      <c r="AK129" s="221">
        <f t="shared" si="52"/>
        <v>0</v>
      </c>
      <c r="AL129" s="221">
        <f t="shared" si="52"/>
        <v>0</v>
      </c>
      <c r="AM129" s="221">
        <f t="shared" si="52"/>
        <v>0</v>
      </c>
      <c r="AN129" s="221">
        <f t="shared" si="52"/>
        <v>0</v>
      </c>
      <c r="AO129" s="221">
        <f t="shared" si="52"/>
        <v>0</v>
      </c>
      <c r="AP129" s="221">
        <f t="shared" si="52"/>
        <v>719996</v>
      </c>
      <c r="AQ129" s="221">
        <f t="shared" si="52"/>
        <v>0</v>
      </c>
      <c r="AR129" s="74"/>
      <c r="AS129" s="73"/>
      <c r="AT129" s="42"/>
    </row>
    <row r="130" spans="1:46" x14ac:dyDescent="0.25">
      <c r="A130" s="73"/>
      <c r="B130" s="73"/>
      <c r="C130" s="73"/>
      <c r="D130" s="73"/>
      <c r="E130" s="73"/>
      <c r="F130" s="115" t="s">
        <v>288</v>
      </c>
      <c r="G130" s="115" t="str">
        <f>G$19</f>
        <v>£ per year</v>
      </c>
      <c r="H130" s="130"/>
      <c r="I130" s="130"/>
      <c r="J130" s="174">
        <f t="shared" ref="J130:AQ130" si="53">J46 + J91</f>
        <v>890000.00000000058</v>
      </c>
      <c r="K130" s="174">
        <f t="shared" si="53"/>
        <v>7541550.8537879996</v>
      </c>
      <c r="L130" s="174">
        <f t="shared" si="53"/>
        <v>4343890.9775108574</v>
      </c>
      <c r="M130" s="174">
        <f t="shared" si="53"/>
        <v>5807175.2116978895</v>
      </c>
      <c r="N130" s="174">
        <f t="shared" si="53"/>
        <v>832869.88832698367</v>
      </c>
      <c r="O130" s="174">
        <f t="shared" si="53"/>
        <v>1802011.5489726502</v>
      </c>
      <c r="P130" s="174">
        <f t="shared" si="53"/>
        <v>174921.78432929626</v>
      </c>
      <c r="Q130" s="174">
        <f t="shared" si="53"/>
        <v>1311913.3824697221</v>
      </c>
      <c r="R130" s="174">
        <f t="shared" si="53"/>
        <v>1428527.9053559194</v>
      </c>
      <c r="S130" s="174">
        <f t="shared" si="53"/>
        <v>2798748.5492687407</v>
      </c>
      <c r="T130" s="174">
        <f t="shared" si="53"/>
        <v>553918.98370943824</v>
      </c>
      <c r="U130" s="174">
        <f t="shared" si="53"/>
        <v>291536.30721549381</v>
      </c>
      <c r="V130" s="174">
        <f t="shared" si="53"/>
        <v>204075.41505084565</v>
      </c>
      <c r="W130" s="174">
        <f t="shared" si="53"/>
        <v>349843.56865859253</v>
      </c>
      <c r="X130" s="174">
        <f t="shared" si="53"/>
        <v>1224452.4903050738</v>
      </c>
      <c r="Y130" s="174">
        <f t="shared" si="53"/>
        <v>0</v>
      </c>
      <c r="Z130" s="174">
        <f t="shared" si="53"/>
        <v>0</v>
      </c>
      <c r="AA130" s="174">
        <f t="shared" si="53"/>
        <v>262382.67649394437</v>
      </c>
      <c r="AB130" s="174">
        <f t="shared" si="53"/>
        <v>349843.56865859253</v>
      </c>
      <c r="AC130" s="174">
        <f t="shared" si="53"/>
        <v>1720064.212571413</v>
      </c>
      <c r="AD130" s="174">
        <f t="shared" si="53"/>
        <v>466458.09154479008</v>
      </c>
      <c r="AE130" s="174">
        <f t="shared" si="53"/>
        <v>0</v>
      </c>
      <c r="AF130" s="174">
        <f t="shared" si="53"/>
        <v>0</v>
      </c>
      <c r="AG130" s="174">
        <f t="shared" si="53"/>
        <v>0</v>
      </c>
      <c r="AH130" s="174">
        <f t="shared" si="53"/>
        <v>0</v>
      </c>
      <c r="AI130" s="174">
        <f t="shared" si="53"/>
        <v>0</v>
      </c>
      <c r="AJ130" s="174">
        <f t="shared" si="53"/>
        <v>0</v>
      </c>
      <c r="AK130" s="174">
        <f t="shared" si="53"/>
        <v>0</v>
      </c>
      <c r="AL130" s="174">
        <f t="shared" si="53"/>
        <v>0</v>
      </c>
      <c r="AM130" s="174">
        <f t="shared" si="53"/>
        <v>0</v>
      </c>
      <c r="AN130" s="174">
        <f t="shared" si="53"/>
        <v>0</v>
      </c>
      <c r="AO130" s="174">
        <f t="shared" si="53"/>
        <v>0</v>
      </c>
      <c r="AP130" s="174">
        <f t="shared" si="53"/>
        <v>0</v>
      </c>
      <c r="AQ130" s="174">
        <f t="shared" si="53"/>
        <v>0</v>
      </c>
      <c r="AR130" s="74"/>
      <c r="AS130" s="73"/>
      <c r="AT130" s="42"/>
    </row>
    <row r="131" spans="1:46" x14ac:dyDescent="0.25">
      <c r="A131" s="73"/>
      <c r="B131" s="73"/>
      <c r="C131" s="73"/>
      <c r="D131" s="73"/>
      <c r="E131" s="73"/>
      <c r="F131" s="115" t="s">
        <v>289</v>
      </c>
      <c r="G131" s="115" t="str">
        <f>G$19</f>
        <v>£ per year</v>
      </c>
      <c r="H131" s="130"/>
      <c r="I131" s="130"/>
      <c r="J131" s="174">
        <f t="shared" ref="J131:AQ131" si="54">J47 + J92</f>
        <v>0</v>
      </c>
      <c r="K131" s="174">
        <f t="shared" si="54"/>
        <v>4949684.34005614</v>
      </c>
      <c r="L131" s="174">
        <f t="shared" si="54"/>
        <v>1071004.7616621684</v>
      </c>
      <c r="M131" s="174">
        <f t="shared" si="54"/>
        <v>479067.46562606626</v>
      </c>
      <c r="N131" s="174">
        <f t="shared" si="54"/>
        <v>2714375.9028411033</v>
      </c>
      <c r="O131" s="174">
        <f t="shared" si="54"/>
        <v>-657.16956374799838</v>
      </c>
      <c r="P131" s="174">
        <f t="shared" si="54"/>
        <v>43127.708523308793</v>
      </c>
      <c r="Q131" s="174">
        <f t="shared" si="54"/>
        <v>323457.81392481591</v>
      </c>
      <c r="R131" s="174">
        <f t="shared" si="54"/>
        <v>352209.61960702174</v>
      </c>
      <c r="S131" s="174">
        <f t="shared" si="54"/>
        <v>690043.3363729408</v>
      </c>
      <c r="T131" s="174">
        <f t="shared" si="54"/>
        <v>136571.07699047783</v>
      </c>
      <c r="U131" s="174">
        <f t="shared" si="54"/>
        <v>71879.514205514657</v>
      </c>
      <c r="V131" s="174">
        <f t="shared" si="54"/>
        <v>50315.659943860257</v>
      </c>
      <c r="W131" s="174">
        <f t="shared" si="54"/>
        <v>86255.417046617586</v>
      </c>
      <c r="X131" s="174">
        <f t="shared" si="54"/>
        <v>301893.95966316154</v>
      </c>
      <c r="Y131" s="174">
        <f t="shared" si="54"/>
        <v>0</v>
      </c>
      <c r="Z131" s="174">
        <f t="shared" si="54"/>
        <v>0</v>
      </c>
      <c r="AA131" s="174">
        <f t="shared" si="54"/>
        <v>64691.562784963178</v>
      </c>
      <c r="AB131" s="174">
        <f t="shared" si="54"/>
        <v>86255.417046617586</v>
      </c>
      <c r="AC131" s="174">
        <f t="shared" si="54"/>
        <v>424089.13381253637</v>
      </c>
      <c r="AD131" s="174">
        <f t="shared" si="54"/>
        <v>115007.22272882344</v>
      </c>
      <c r="AE131" s="174">
        <f t="shared" si="54"/>
        <v>0</v>
      </c>
      <c r="AF131" s="174">
        <f t="shared" si="54"/>
        <v>0</v>
      </c>
      <c r="AG131" s="174">
        <f t="shared" si="54"/>
        <v>0</v>
      </c>
      <c r="AH131" s="174">
        <f t="shared" si="54"/>
        <v>0</v>
      </c>
      <c r="AI131" s="174">
        <f t="shared" si="54"/>
        <v>0</v>
      </c>
      <c r="AJ131" s="174">
        <f t="shared" si="54"/>
        <v>0</v>
      </c>
      <c r="AK131" s="174">
        <f t="shared" si="54"/>
        <v>0</v>
      </c>
      <c r="AL131" s="174">
        <f t="shared" si="54"/>
        <v>0</v>
      </c>
      <c r="AM131" s="174">
        <f t="shared" si="54"/>
        <v>0</v>
      </c>
      <c r="AN131" s="174">
        <f t="shared" si="54"/>
        <v>0</v>
      </c>
      <c r="AO131" s="174">
        <f t="shared" si="54"/>
        <v>0</v>
      </c>
      <c r="AP131" s="174">
        <f t="shared" si="54"/>
        <v>0</v>
      </c>
      <c r="AQ131" s="174">
        <f t="shared" si="54"/>
        <v>0</v>
      </c>
      <c r="AR131" s="74"/>
      <c r="AS131" s="73"/>
      <c r="AT131" s="42"/>
    </row>
    <row r="132" spans="1:46" x14ac:dyDescent="0.25">
      <c r="A132" s="73"/>
      <c r="B132" s="73"/>
      <c r="C132" s="73"/>
      <c r="D132" s="73"/>
      <c r="E132" s="73"/>
      <c r="F132" s="115" t="s">
        <v>290</v>
      </c>
      <c r="G132" s="115" t="str">
        <f>G$19</f>
        <v>£ per year</v>
      </c>
      <c r="H132" s="130"/>
      <c r="I132" s="130"/>
      <c r="J132" s="174">
        <f t="shared" ref="J132:AQ132" si="55">J48 + J93</f>
        <v>1160000.0000000002</v>
      </c>
      <c r="K132" s="174">
        <f t="shared" si="55"/>
        <v>14720209.476768535</v>
      </c>
      <c r="L132" s="174">
        <f t="shared" si="55"/>
        <v>3826969.7087840694</v>
      </c>
      <c r="M132" s="174">
        <f t="shared" si="55"/>
        <v>2782527.9650780191</v>
      </c>
      <c r="N132" s="174">
        <f t="shared" si="55"/>
        <v>851368.72092327662</v>
      </c>
      <c r="O132" s="174">
        <f t="shared" si="55"/>
        <v>2117547.8805318973</v>
      </c>
      <c r="P132" s="174">
        <f t="shared" si="55"/>
        <v>154106.16276982831</v>
      </c>
      <c r="Q132" s="174">
        <f t="shared" si="55"/>
        <v>1155796.2207737123</v>
      </c>
      <c r="R132" s="174">
        <f t="shared" si="55"/>
        <v>1258533.6626202643</v>
      </c>
      <c r="S132" s="174">
        <f t="shared" si="55"/>
        <v>2465698.6043172535</v>
      </c>
      <c r="T132" s="174">
        <f t="shared" si="55"/>
        <v>488002.84877112298</v>
      </c>
      <c r="U132" s="174">
        <f t="shared" si="55"/>
        <v>256843.6046163805</v>
      </c>
      <c r="V132" s="174">
        <f t="shared" si="55"/>
        <v>179790.52323146636</v>
      </c>
      <c r="W132" s="174">
        <f t="shared" si="55"/>
        <v>308212.32553965662</v>
      </c>
      <c r="X132" s="174">
        <f t="shared" si="55"/>
        <v>1078743.139388798</v>
      </c>
      <c r="Y132" s="174">
        <f t="shared" si="55"/>
        <v>0</v>
      </c>
      <c r="Z132" s="174">
        <f t="shared" si="55"/>
        <v>0</v>
      </c>
      <c r="AA132" s="174">
        <f t="shared" si="55"/>
        <v>231159.24415474242</v>
      </c>
      <c r="AB132" s="174">
        <f t="shared" si="55"/>
        <v>308212.32553965662</v>
      </c>
      <c r="AC132" s="174">
        <f t="shared" si="55"/>
        <v>1515377.2672366446</v>
      </c>
      <c r="AD132" s="174">
        <f t="shared" si="55"/>
        <v>410949.76738620881</v>
      </c>
      <c r="AE132" s="174">
        <f t="shared" si="55"/>
        <v>0</v>
      </c>
      <c r="AF132" s="174">
        <f t="shared" si="55"/>
        <v>0</v>
      </c>
      <c r="AG132" s="174">
        <f t="shared" si="55"/>
        <v>0</v>
      </c>
      <c r="AH132" s="174">
        <f t="shared" si="55"/>
        <v>0</v>
      </c>
      <c r="AI132" s="174">
        <f t="shared" si="55"/>
        <v>0</v>
      </c>
      <c r="AJ132" s="174">
        <f t="shared" si="55"/>
        <v>0</v>
      </c>
      <c r="AK132" s="174">
        <f t="shared" si="55"/>
        <v>0</v>
      </c>
      <c r="AL132" s="174">
        <f t="shared" si="55"/>
        <v>0</v>
      </c>
      <c r="AM132" s="174">
        <f t="shared" si="55"/>
        <v>0</v>
      </c>
      <c r="AN132" s="174">
        <f t="shared" si="55"/>
        <v>0</v>
      </c>
      <c r="AO132" s="174">
        <f t="shared" si="55"/>
        <v>0</v>
      </c>
      <c r="AP132" s="174">
        <f t="shared" si="55"/>
        <v>0</v>
      </c>
      <c r="AQ132" s="174">
        <f t="shared" si="55"/>
        <v>0</v>
      </c>
      <c r="AR132" s="74"/>
      <c r="AS132" s="73"/>
      <c r="AT132" s="42"/>
    </row>
    <row r="133" spans="1:46" x14ac:dyDescent="0.25">
      <c r="A133" s="73"/>
      <c r="B133" s="73"/>
      <c r="C133" s="73"/>
      <c r="D133" s="73"/>
      <c r="E133" s="73"/>
      <c r="F133" s="117" t="s">
        <v>291</v>
      </c>
      <c r="G133" s="117" t="str">
        <f>G$19</f>
        <v>£ per year</v>
      </c>
      <c r="H133" s="146"/>
      <c r="I133" s="147"/>
      <c r="J133" s="175">
        <f t="shared" ref="J133:AQ133" si="56">J49 + J94</f>
        <v>4900000</v>
      </c>
      <c r="K133" s="175">
        <f t="shared" si="56"/>
        <v>13146272.351747425</v>
      </c>
      <c r="L133" s="175">
        <f t="shared" si="56"/>
        <v>3272202.7985191746</v>
      </c>
      <c r="M133" s="175">
        <f t="shared" si="56"/>
        <v>1241572.018682624</v>
      </c>
      <c r="N133" s="175">
        <f t="shared" si="56"/>
        <v>2143922.1852150229</v>
      </c>
      <c r="O133" s="175">
        <f t="shared" si="56"/>
        <v>391322.30665870052</v>
      </c>
      <c r="P133" s="175">
        <f t="shared" si="56"/>
        <v>131766.55564506742</v>
      </c>
      <c r="Q133" s="175">
        <f t="shared" si="56"/>
        <v>988249.16733800573</v>
      </c>
      <c r="R133" s="175">
        <f t="shared" si="56"/>
        <v>1076093.5377680503</v>
      </c>
      <c r="S133" s="175">
        <f t="shared" si="56"/>
        <v>2108264.8903210792</v>
      </c>
      <c r="T133" s="175">
        <f t="shared" si="56"/>
        <v>417260.75954271352</v>
      </c>
      <c r="U133" s="175">
        <f t="shared" si="56"/>
        <v>219610.92607511237</v>
      </c>
      <c r="V133" s="175">
        <f t="shared" si="56"/>
        <v>153727.64825257866</v>
      </c>
      <c r="W133" s="175">
        <f t="shared" si="56"/>
        <v>263533.11129013484</v>
      </c>
      <c r="X133" s="175">
        <f t="shared" si="56"/>
        <v>922365.88951547199</v>
      </c>
      <c r="Y133" s="175">
        <f t="shared" si="56"/>
        <v>0</v>
      </c>
      <c r="Z133" s="175">
        <f t="shared" si="56"/>
        <v>0</v>
      </c>
      <c r="AA133" s="175">
        <f t="shared" si="56"/>
        <v>197649.8334676011</v>
      </c>
      <c r="AB133" s="175">
        <f t="shared" si="56"/>
        <v>263533.11129013484</v>
      </c>
      <c r="AC133" s="175">
        <f t="shared" si="56"/>
        <v>1295704.4638431629</v>
      </c>
      <c r="AD133" s="175">
        <f t="shared" si="56"/>
        <v>351377.48172017979</v>
      </c>
      <c r="AE133" s="175">
        <f t="shared" si="56"/>
        <v>0</v>
      </c>
      <c r="AF133" s="175">
        <f t="shared" si="56"/>
        <v>0</v>
      </c>
      <c r="AG133" s="175">
        <f t="shared" si="56"/>
        <v>0</v>
      </c>
      <c r="AH133" s="175">
        <f t="shared" si="56"/>
        <v>0</v>
      </c>
      <c r="AI133" s="175">
        <f t="shared" si="56"/>
        <v>0</v>
      </c>
      <c r="AJ133" s="175">
        <f t="shared" si="56"/>
        <v>0</v>
      </c>
      <c r="AK133" s="175">
        <f t="shared" si="56"/>
        <v>0</v>
      </c>
      <c r="AL133" s="175">
        <f t="shared" si="56"/>
        <v>0</v>
      </c>
      <c r="AM133" s="175">
        <f t="shared" si="56"/>
        <v>0</v>
      </c>
      <c r="AN133" s="175">
        <f t="shared" si="56"/>
        <v>0</v>
      </c>
      <c r="AO133" s="175">
        <f t="shared" si="56"/>
        <v>0</v>
      </c>
      <c r="AP133" s="175">
        <f t="shared" si="56"/>
        <v>0</v>
      </c>
      <c r="AQ133" s="175">
        <f t="shared" si="56"/>
        <v>0</v>
      </c>
      <c r="AR133" s="74"/>
      <c r="AS133" s="73"/>
      <c r="AT133" s="42"/>
    </row>
    <row r="134" spans="1:46" x14ac:dyDescent="0.25">
      <c r="A134" s="73"/>
      <c r="B134" s="73"/>
      <c r="C134" s="73"/>
      <c r="D134" s="73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3"/>
      <c r="AT134" s="42"/>
    </row>
    <row r="135" spans="1:46" x14ac:dyDescent="0.25">
      <c r="A135" s="115"/>
      <c r="B135" s="73"/>
      <c r="C135" s="73"/>
      <c r="D135" s="73"/>
      <c r="E135" s="112" t="s">
        <v>270</v>
      </c>
      <c r="F135" s="73"/>
      <c r="G135" s="73"/>
      <c r="H135" s="74"/>
      <c r="I135" s="132" t="s">
        <v>314</v>
      </c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115" t="s">
        <v>606</v>
      </c>
      <c r="AT135" s="42"/>
    </row>
    <row r="136" spans="1:46" x14ac:dyDescent="0.25">
      <c r="A136" s="73"/>
      <c r="B136" s="73"/>
      <c r="C136" s="73"/>
      <c r="D136" s="73"/>
      <c r="E136" s="73"/>
      <c r="F136" s="113" t="s">
        <v>282</v>
      </c>
      <c r="G136" s="113" t="str">
        <f>G$19</f>
        <v>£ per year</v>
      </c>
      <c r="H136" s="145"/>
      <c r="I136" s="145"/>
      <c r="J136" s="221">
        <f t="shared" ref="J136:AQ136" si="57">J45 + J97 + J116</f>
        <v>0</v>
      </c>
      <c r="K136" s="221">
        <f t="shared" si="57"/>
        <v>4139794.4208931457</v>
      </c>
      <c r="L136" s="221">
        <f t="shared" si="57"/>
        <v>2438902.4614191204</v>
      </c>
      <c r="M136" s="221">
        <f t="shared" si="57"/>
        <v>3193567.9280888857</v>
      </c>
      <c r="N136" s="221">
        <f t="shared" si="57"/>
        <v>458174.31890697661</v>
      </c>
      <c r="O136" s="221">
        <f t="shared" si="57"/>
        <v>989742.93052260019</v>
      </c>
      <c r="P136" s="221">
        <f t="shared" si="57"/>
        <v>98210.837372582027</v>
      </c>
      <c r="Q136" s="221">
        <f t="shared" si="57"/>
        <v>736581.28029436525</v>
      </c>
      <c r="R136" s="221">
        <f t="shared" si="57"/>
        <v>802055.1718760865</v>
      </c>
      <c r="S136" s="221">
        <f t="shared" si="57"/>
        <v>1571373.3979613129</v>
      </c>
      <c r="T136" s="221">
        <f t="shared" si="57"/>
        <v>311000.98501317645</v>
      </c>
      <c r="U136" s="221">
        <f t="shared" si="57"/>
        <v>163684.7289543034</v>
      </c>
      <c r="V136" s="221">
        <f t="shared" si="57"/>
        <v>114579.31026801237</v>
      </c>
      <c r="W136" s="221">
        <f t="shared" si="57"/>
        <v>196421.67474516405</v>
      </c>
      <c r="X136" s="221">
        <f t="shared" si="57"/>
        <v>687475.86160807428</v>
      </c>
      <c r="Y136" s="221">
        <f t="shared" si="57"/>
        <v>0</v>
      </c>
      <c r="Z136" s="221">
        <f t="shared" si="57"/>
        <v>0</v>
      </c>
      <c r="AA136" s="221">
        <f t="shared" si="57"/>
        <v>147316.25605887303</v>
      </c>
      <c r="AB136" s="221">
        <f t="shared" si="57"/>
        <v>196421.67474516405</v>
      </c>
      <c r="AC136" s="221">
        <f t="shared" si="57"/>
        <v>965739.90083038982</v>
      </c>
      <c r="AD136" s="221">
        <f t="shared" si="57"/>
        <v>261895.56632688543</v>
      </c>
      <c r="AE136" s="221">
        <f t="shared" si="57"/>
        <v>0</v>
      </c>
      <c r="AF136" s="221">
        <f t="shared" si="57"/>
        <v>0</v>
      </c>
      <c r="AG136" s="221">
        <f t="shared" si="57"/>
        <v>0</v>
      </c>
      <c r="AH136" s="221">
        <f t="shared" si="57"/>
        <v>0</v>
      </c>
      <c r="AI136" s="221">
        <f t="shared" si="57"/>
        <v>0</v>
      </c>
      <c r="AJ136" s="221">
        <f t="shared" si="57"/>
        <v>0</v>
      </c>
      <c r="AK136" s="221">
        <f t="shared" si="57"/>
        <v>0</v>
      </c>
      <c r="AL136" s="221">
        <f t="shared" si="57"/>
        <v>0</v>
      </c>
      <c r="AM136" s="221">
        <f t="shared" si="57"/>
        <v>0</v>
      </c>
      <c r="AN136" s="221">
        <f t="shared" si="57"/>
        <v>0</v>
      </c>
      <c r="AO136" s="221">
        <f t="shared" si="57"/>
        <v>0</v>
      </c>
      <c r="AP136" s="221">
        <f t="shared" si="57"/>
        <v>719996</v>
      </c>
      <c r="AQ136" s="221">
        <f t="shared" si="57"/>
        <v>0</v>
      </c>
      <c r="AR136" s="74"/>
      <c r="AS136" s="73"/>
      <c r="AT136" s="42"/>
    </row>
    <row r="137" spans="1:46" x14ac:dyDescent="0.25">
      <c r="A137" s="73"/>
      <c r="B137" s="73"/>
      <c r="C137" s="73"/>
      <c r="D137" s="73"/>
      <c r="E137" s="73"/>
      <c r="F137" s="115" t="s">
        <v>283</v>
      </c>
      <c r="G137" s="115" t="str">
        <f>G$19</f>
        <v>£ per year</v>
      </c>
      <c r="H137" s="130"/>
      <c r="I137" s="130"/>
      <c r="J137" s="174">
        <f t="shared" ref="J137:AQ137" si="58">J46 + J98</f>
        <v>890000.00000000058</v>
      </c>
      <c r="K137" s="174">
        <f t="shared" si="58"/>
        <v>7537020.1210110364</v>
      </c>
      <c r="L137" s="174">
        <f t="shared" si="58"/>
        <v>4440330.8609062275</v>
      </c>
      <c r="M137" s="174">
        <f t="shared" si="58"/>
        <v>5814294.9346331181</v>
      </c>
      <c r="N137" s="174">
        <f t="shared" si="58"/>
        <v>834164.38340611616</v>
      </c>
      <c r="O137" s="174">
        <f t="shared" si="58"/>
        <v>1801952.3733663715</v>
      </c>
      <c r="P137" s="174">
        <f t="shared" si="58"/>
        <v>178805.26956669372</v>
      </c>
      <c r="Q137" s="174">
        <f t="shared" si="58"/>
        <v>1341039.5217502029</v>
      </c>
      <c r="R137" s="174">
        <f t="shared" si="58"/>
        <v>1460243.0347946652</v>
      </c>
      <c r="S137" s="174">
        <f t="shared" si="58"/>
        <v>2860884.3130671</v>
      </c>
      <c r="T137" s="174">
        <f t="shared" si="58"/>
        <v>566216.68696119683</v>
      </c>
      <c r="U137" s="174">
        <f t="shared" si="58"/>
        <v>298008.78261115623</v>
      </c>
      <c r="V137" s="174">
        <f t="shared" si="58"/>
        <v>208606.14782780936</v>
      </c>
      <c r="W137" s="174">
        <f t="shared" si="58"/>
        <v>357610.53913338744</v>
      </c>
      <c r="X137" s="174">
        <f t="shared" si="58"/>
        <v>1251636.886966856</v>
      </c>
      <c r="Y137" s="174">
        <f t="shared" si="58"/>
        <v>0</v>
      </c>
      <c r="Z137" s="174">
        <f t="shared" si="58"/>
        <v>0</v>
      </c>
      <c r="AA137" s="174">
        <f t="shared" si="58"/>
        <v>268207.90435004054</v>
      </c>
      <c r="AB137" s="174">
        <f t="shared" si="58"/>
        <v>357610.53913338744</v>
      </c>
      <c r="AC137" s="174">
        <f t="shared" si="58"/>
        <v>1758251.8174058213</v>
      </c>
      <c r="AD137" s="174">
        <f t="shared" si="58"/>
        <v>476814.05217784992</v>
      </c>
      <c r="AE137" s="174">
        <f t="shared" si="58"/>
        <v>0</v>
      </c>
      <c r="AF137" s="174">
        <f t="shared" si="58"/>
        <v>0</v>
      </c>
      <c r="AG137" s="174">
        <f t="shared" si="58"/>
        <v>0</v>
      </c>
      <c r="AH137" s="174">
        <f t="shared" si="58"/>
        <v>0</v>
      </c>
      <c r="AI137" s="174">
        <f t="shared" si="58"/>
        <v>0</v>
      </c>
      <c r="AJ137" s="174">
        <f t="shared" si="58"/>
        <v>0</v>
      </c>
      <c r="AK137" s="174">
        <f t="shared" si="58"/>
        <v>0</v>
      </c>
      <c r="AL137" s="174">
        <f t="shared" si="58"/>
        <v>0</v>
      </c>
      <c r="AM137" s="174">
        <f t="shared" si="58"/>
        <v>0</v>
      </c>
      <c r="AN137" s="174">
        <f t="shared" si="58"/>
        <v>0</v>
      </c>
      <c r="AO137" s="174">
        <f t="shared" si="58"/>
        <v>0</v>
      </c>
      <c r="AP137" s="174">
        <f t="shared" ref="AP137" si="59">AP46 + AP98</f>
        <v>0</v>
      </c>
      <c r="AQ137" s="174">
        <f t="shared" si="58"/>
        <v>0</v>
      </c>
      <c r="AR137" s="74"/>
      <c r="AS137" s="73"/>
      <c r="AT137" s="42"/>
    </row>
    <row r="138" spans="1:46" x14ac:dyDescent="0.25">
      <c r="A138" s="73"/>
      <c r="B138" s="73"/>
      <c r="C138" s="73"/>
      <c r="D138" s="73"/>
      <c r="E138" s="73"/>
      <c r="F138" s="115" t="s">
        <v>284</v>
      </c>
      <c r="G138" s="115" t="str">
        <f>G$19</f>
        <v>£ per year</v>
      </c>
      <c r="H138" s="130"/>
      <c r="I138" s="130"/>
      <c r="J138" s="174">
        <f t="shared" ref="J138:AQ138" si="60">J47 + J99</f>
        <v>0</v>
      </c>
      <c r="K138" s="174">
        <f t="shared" si="60"/>
        <v>4948567.2686556224</v>
      </c>
      <c r="L138" s="174">
        <f t="shared" si="60"/>
        <v>1094782.4243303442</v>
      </c>
      <c r="M138" s="174">
        <f t="shared" si="60"/>
        <v>480822.86354116647</v>
      </c>
      <c r="N138" s="174">
        <f t="shared" si="60"/>
        <v>2714695.0660983939</v>
      </c>
      <c r="O138" s="174">
        <f t="shared" si="60"/>
        <v>-671.7595606947358</v>
      </c>
      <c r="P138" s="174">
        <f t="shared" si="60"/>
        <v>44085.198295181646</v>
      </c>
      <c r="Q138" s="174">
        <f t="shared" si="60"/>
        <v>330638.98721386236</v>
      </c>
      <c r="R138" s="174">
        <f t="shared" si="60"/>
        <v>360029.11941065005</v>
      </c>
      <c r="S138" s="174">
        <f t="shared" si="60"/>
        <v>705363.17272290657</v>
      </c>
      <c r="T138" s="174">
        <f t="shared" si="60"/>
        <v>139603.12793474187</v>
      </c>
      <c r="U138" s="174">
        <f t="shared" si="60"/>
        <v>73475.33049196942</v>
      </c>
      <c r="V138" s="174">
        <f t="shared" si="60"/>
        <v>51432.73134437859</v>
      </c>
      <c r="W138" s="174">
        <f t="shared" si="60"/>
        <v>88170.396590363292</v>
      </c>
      <c r="X138" s="174">
        <f t="shared" si="60"/>
        <v>308596.38806627155</v>
      </c>
      <c r="Y138" s="174">
        <f t="shared" si="60"/>
        <v>0</v>
      </c>
      <c r="Z138" s="174">
        <f t="shared" si="60"/>
        <v>0</v>
      </c>
      <c r="AA138" s="174">
        <f t="shared" si="60"/>
        <v>66127.797442772469</v>
      </c>
      <c r="AB138" s="174">
        <f t="shared" si="60"/>
        <v>88170.396590363292</v>
      </c>
      <c r="AC138" s="174">
        <f t="shared" si="60"/>
        <v>433504.44990261947</v>
      </c>
      <c r="AD138" s="174">
        <f t="shared" si="60"/>
        <v>117560.52878715107</v>
      </c>
      <c r="AE138" s="174">
        <f t="shared" si="60"/>
        <v>0</v>
      </c>
      <c r="AF138" s="174">
        <f t="shared" si="60"/>
        <v>0</v>
      </c>
      <c r="AG138" s="174">
        <f t="shared" si="60"/>
        <v>0</v>
      </c>
      <c r="AH138" s="174">
        <f t="shared" si="60"/>
        <v>0</v>
      </c>
      <c r="AI138" s="174">
        <f t="shared" si="60"/>
        <v>0</v>
      </c>
      <c r="AJ138" s="174">
        <f t="shared" si="60"/>
        <v>0</v>
      </c>
      <c r="AK138" s="174">
        <f t="shared" si="60"/>
        <v>0</v>
      </c>
      <c r="AL138" s="174">
        <f t="shared" si="60"/>
        <v>0</v>
      </c>
      <c r="AM138" s="174">
        <f t="shared" si="60"/>
        <v>0</v>
      </c>
      <c r="AN138" s="174">
        <f t="shared" si="60"/>
        <v>0</v>
      </c>
      <c r="AO138" s="174">
        <f t="shared" si="60"/>
        <v>0</v>
      </c>
      <c r="AP138" s="174">
        <f t="shared" ref="AP138" si="61">AP47 + AP99</f>
        <v>0</v>
      </c>
      <c r="AQ138" s="174">
        <f t="shared" si="60"/>
        <v>0</v>
      </c>
      <c r="AR138" s="74"/>
      <c r="AS138" s="73"/>
      <c r="AT138" s="42"/>
    </row>
    <row r="139" spans="1:46" x14ac:dyDescent="0.25">
      <c r="A139" s="73"/>
      <c r="B139" s="73"/>
      <c r="C139" s="73"/>
      <c r="D139" s="73"/>
      <c r="E139" s="73"/>
      <c r="F139" s="115" t="s">
        <v>285</v>
      </c>
      <c r="G139" s="115" t="str">
        <f>G$19</f>
        <v>£ per year</v>
      </c>
      <c r="H139" s="130"/>
      <c r="I139" s="130"/>
      <c r="J139" s="174">
        <f t="shared" ref="J139:AQ139" si="62">J48 + J100</f>
        <v>1160000.0000000002</v>
      </c>
      <c r="K139" s="174">
        <f t="shared" si="62"/>
        <v>14716217.899358833</v>
      </c>
      <c r="L139" s="174">
        <f t="shared" si="62"/>
        <v>3911933.2850762713</v>
      </c>
      <c r="M139" s="174">
        <f t="shared" si="62"/>
        <v>2788800.4438646915</v>
      </c>
      <c r="N139" s="174">
        <f t="shared" si="62"/>
        <v>852509.17161176249</v>
      </c>
      <c r="O139" s="174">
        <f t="shared" si="62"/>
        <v>2117495.7467988227</v>
      </c>
      <c r="P139" s="174">
        <f t="shared" si="62"/>
        <v>157527.5148352861</v>
      </c>
      <c r="Q139" s="174">
        <f t="shared" si="62"/>
        <v>1181456.3612646456</v>
      </c>
      <c r="R139" s="174">
        <f t="shared" si="62"/>
        <v>1286474.7044881694</v>
      </c>
      <c r="S139" s="174">
        <f t="shared" si="62"/>
        <v>2520440.2373645781</v>
      </c>
      <c r="T139" s="174">
        <f t="shared" si="62"/>
        <v>498837.13031173928</v>
      </c>
      <c r="U139" s="174">
        <f t="shared" si="62"/>
        <v>262545.85805881012</v>
      </c>
      <c r="V139" s="174">
        <f t="shared" si="62"/>
        <v>183782.10064116711</v>
      </c>
      <c r="W139" s="174">
        <f t="shared" si="62"/>
        <v>315055.0296705722</v>
      </c>
      <c r="X139" s="174">
        <f t="shared" si="62"/>
        <v>1102692.6038470026</v>
      </c>
      <c r="Y139" s="174">
        <f t="shared" si="62"/>
        <v>0</v>
      </c>
      <c r="Z139" s="174">
        <f t="shared" si="62"/>
        <v>0</v>
      </c>
      <c r="AA139" s="174">
        <f t="shared" si="62"/>
        <v>236291.27225292911</v>
      </c>
      <c r="AB139" s="174">
        <f t="shared" si="62"/>
        <v>315055.0296705722</v>
      </c>
      <c r="AC139" s="174">
        <f t="shared" si="62"/>
        <v>1549020.5625469796</v>
      </c>
      <c r="AD139" s="174">
        <f t="shared" si="62"/>
        <v>420073.37289409625</v>
      </c>
      <c r="AE139" s="174">
        <f t="shared" si="62"/>
        <v>0</v>
      </c>
      <c r="AF139" s="174">
        <f t="shared" si="62"/>
        <v>0</v>
      </c>
      <c r="AG139" s="174">
        <f t="shared" si="62"/>
        <v>0</v>
      </c>
      <c r="AH139" s="174">
        <f t="shared" si="62"/>
        <v>0</v>
      </c>
      <c r="AI139" s="174">
        <f t="shared" si="62"/>
        <v>0</v>
      </c>
      <c r="AJ139" s="174">
        <f t="shared" si="62"/>
        <v>0</v>
      </c>
      <c r="AK139" s="174">
        <f t="shared" si="62"/>
        <v>0</v>
      </c>
      <c r="AL139" s="174">
        <f t="shared" si="62"/>
        <v>0</v>
      </c>
      <c r="AM139" s="174">
        <f t="shared" si="62"/>
        <v>0</v>
      </c>
      <c r="AN139" s="174">
        <f t="shared" si="62"/>
        <v>0</v>
      </c>
      <c r="AO139" s="174">
        <f t="shared" si="62"/>
        <v>0</v>
      </c>
      <c r="AP139" s="174">
        <f t="shared" ref="AP139" si="63">AP48 + AP100</f>
        <v>0</v>
      </c>
      <c r="AQ139" s="174">
        <f t="shared" si="62"/>
        <v>0</v>
      </c>
      <c r="AR139" s="74"/>
      <c r="AS139" s="73"/>
      <c r="AT139" s="42"/>
    </row>
    <row r="140" spans="1:46" x14ac:dyDescent="0.25">
      <c r="A140" s="73"/>
      <c r="B140" s="73"/>
      <c r="C140" s="73"/>
      <c r="D140" s="73"/>
      <c r="E140" s="73"/>
      <c r="F140" s="117" t="s">
        <v>286</v>
      </c>
      <c r="G140" s="117" t="str">
        <f>G$19</f>
        <v>£ per year</v>
      </c>
      <c r="H140" s="146"/>
      <c r="I140" s="147"/>
      <c r="J140" s="175">
        <f t="shared" ref="J140:AQ140" si="64">J49 + J101</f>
        <v>4900000</v>
      </c>
      <c r="K140" s="175">
        <f t="shared" si="64"/>
        <v>13158400.290081371</v>
      </c>
      <c r="L140" s="175">
        <f t="shared" si="64"/>
        <v>3014050.9682680354</v>
      </c>
      <c r="M140" s="175">
        <f t="shared" si="64"/>
        <v>1222513.8298721372</v>
      </c>
      <c r="N140" s="175">
        <f t="shared" si="64"/>
        <v>2140457.0599767524</v>
      </c>
      <c r="O140" s="175">
        <f t="shared" si="64"/>
        <v>391480.70887290133</v>
      </c>
      <c r="P140" s="175">
        <f t="shared" si="64"/>
        <v>121371.17993025646</v>
      </c>
      <c r="Q140" s="175">
        <f t="shared" si="64"/>
        <v>910283.84947692347</v>
      </c>
      <c r="R140" s="175">
        <f t="shared" si="64"/>
        <v>991197.96943042753</v>
      </c>
      <c r="S140" s="175">
        <f t="shared" si="64"/>
        <v>1941938.8788841036</v>
      </c>
      <c r="T140" s="175">
        <f t="shared" si="64"/>
        <v>384342.06977914547</v>
      </c>
      <c r="U140" s="175">
        <f t="shared" si="64"/>
        <v>202285.29988376077</v>
      </c>
      <c r="V140" s="175">
        <f t="shared" si="64"/>
        <v>141599.70991863252</v>
      </c>
      <c r="W140" s="175">
        <f t="shared" si="64"/>
        <v>242742.35986051292</v>
      </c>
      <c r="X140" s="175">
        <f t="shared" si="64"/>
        <v>849598.25951179524</v>
      </c>
      <c r="Y140" s="175">
        <f t="shared" si="64"/>
        <v>0</v>
      </c>
      <c r="Z140" s="175">
        <f t="shared" si="64"/>
        <v>0</v>
      </c>
      <c r="AA140" s="175">
        <f t="shared" si="64"/>
        <v>182056.76989538467</v>
      </c>
      <c r="AB140" s="175">
        <f t="shared" si="64"/>
        <v>242742.35986051292</v>
      </c>
      <c r="AC140" s="175">
        <f t="shared" si="64"/>
        <v>1193483.2693141883</v>
      </c>
      <c r="AD140" s="175">
        <f t="shared" si="64"/>
        <v>323656.47981401719</v>
      </c>
      <c r="AE140" s="175">
        <f t="shared" si="64"/>
        <v>0</v>
      </c>
      <c r="AF140" s="175">
        <f t="shared" si="64"/>
        <v>0</v>
      </c>
      <c r="AG140" s="175">
        <f t="shared" si="64"/>
        <v>0</v>
      </c>
      <c r="AH140" s="175">
        <f t="shared" si="64"/>
        <v>0</v>
      </c>
      <c r="AI140" s="175">
        <f t="shared" si="64"/>
        <v>0</v>
      </c>
      <c r="AJ140" s="175">
        <f t="shared" si="64"/>
        <v>0</v>
      </c>
      <c r="AK140" s="175">
        <f t="shared" si="64"/>
        <v>0</v>
      </c>
      <c r="AL140" s="175">
        <f t="shared" si="64"/>
        <v>0</v>
      </c>
      <c r="AM140" s="175">
        <f t="shared" si="64"/>
        <v>0</v>
      </c>
      <c r="AN140" s="175">
        <f t="shared" si="64"/>
        <v>0</v>
      </c>
      <c r="AO140" s="175">
        <f t="shared" si="64"/>
        <v>0</v>
      </c>
      <c r="AP140" s="175">
        <f t="shared" ref="AP140" si="65">AP49 + AP101</f>
        <v>0</v>
      </c>
      <c r="AQ140" s="175">
        <f t="shared" si="64"/>
        <v>0</v>
      </c>
      <c r="AR140" s="74"/>
      <c r="AS140" s="73"/>
      <c r="AT140" s="42"/>
    </row>
    <row r="141" spans="1:46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3"/>
      <c r="AT141" s="42"/>
    </row>
    <row r="142" spans="1:46" x14ac:dyDescent="0.25">
      <c r="A142" s="73"/>
      <c r="B142" s="73"/>
      <c r="C142" s="109"/>
      <c r="D142" s="109"/>
      <c r="E142" s="115" t="s">
        <v>492</v>
      </c>
      <c r="F142" s="73"/>
      <c r="G142" s="115" t="s">
        <v>231</v>
      </c>
      <c r="H142" s="136">
        <f>IF(SUM(J129:AQ133) = 0, 1, 0) + IF(SUM(J136:AQ140) = 0, 1, 0)</f>
        <v>0</v>
      </c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74"/>
      <c r="AS142" s="73"/>
      <c r="AT142" s="42"/>
    </row>
    <row r="143" spans="1:46" x14ac:dyDescent="0.25">
      <c r="A143" s="73"/>
      <c r="B143" s="73"/>
      <c r="C143" s="73"/>
      <c r="D143" s="73"/>
      <c r="E143" s="115" t="s">
        <v>524</v>
      </c>
      <c r="F143" s="73"/>
      <c r="G143" s="115" t="s">
        <v>231</v>
      </c>
      <c r="H143" s="136">
        <f>IF(ROUND(SUM(J129:AQ133) - SUM(J136:AQ140), 2) = 0,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74"/>
      <c r="AS143" s="73"/>
      <c r="AT143" s="42"/>
    </row>
    <row r="144" spans="1:46" x14ac:dyDescent="0.25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3"/>
      <c r="AT144" s="42"/>
    </row>
    <row r="145" spans="1:46" x14ac:dyDescent="0.25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7"/>
      <c r="AT145" s="42"/>
    </row>
    <row r="146" spans="1:46" x14ac:dyDescent="0.25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3"/>
      <c r="AT146" s="42"/>
    </row>
    <row r="147" spans="1:46" x14ac:dyDescent="0.25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 xml:space="preserve"> H119 + H142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74"/>
      <c r="AS147" s="73"/>
      <c r="AT147" s="42"/>
    </row>
    <row r="148" spans="1:46" x14ac:dyDescent="0.25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3"/>
      <c r="AT148" s="42"/>
    </row>
    <row r="149" spans="1:46" x14ac:dyDescent="0.25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7"/>
      <c r="AT149" s="42"/>
    </row>
  </sheetData>
  <sheetProtection sheet="1" objects="1" formatCells="0" formatColumns="0" formatRows="0" sort="0" autoFilter="0"/>
  <conditionalFormatting sqref="H142">
    <cfRule type="cellIs" dxfId="31" priority="5" stopIfTrue="1" operator="greaterThan">
      <formula>0</formula>
    </cfRule>
  </conditionalFormatting>
  <conditionalFormatting sqref="H143">
    <cfRule type="cellIs" dxfId="30" priority="6" stopIfTrue="1" operator="greaterThan">
      <formula>0</formula>
    </cfRule>
  </conditionalFormatting>
  <conditionalFormatting sqref="H147">
    <cfRule type="cellIs" dxfId="29" priority="7" stopIfTrue="1" operator="greaterThan">
      <formula>0</formula>
    </cfRule>
  </conditionalFormatting>
  <conditionalFormatting sqref="A4:AO4 AQ4:XFD4">
    <cfRule type="expression" dxfId="28" priority="4">
      <formula>LEFT($A$4,1) &lt;&gt; "0"</formula>
    </cfRule>
  </conditionalFormatting>
  <conditionalFormatting sqref="AP4">
    <cfRule type="expression" dxfId="27" priority="3">
      <formula>LEFT($A$4,1) &lt;&gt; "0"</formula>
    </cfRule>
  </conditionalFormatting>
  <conditionalFormatting sqref="H119">
    <cfRule type="cellIs" dxfId="26" priority="2" stopIfTrue="1" operator="greaterThan">
      <formula>0</formula>
    </cfRule>
  </conditionalFormatting>
  <conditionalFormatting sqref="J118:AQ118">
    <cfRule type="cellIs" dxfId="25" priority="1" stopIfTrue="1" operator="greaterThan">
      <formula>0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59999389629810485"/>
  </sheetPr>
  <dimension ref="A1:AT8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H87 &amp; IF(H87 = 1, " issue", " issues") &amp;" identified in checks on this sheet"</f>
        <v>1 issue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743</v>
      </c>
      <c r="AQ5" s="104" t="s">
        <v>742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551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456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732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243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552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457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641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tr">
        <f>Expenditure!E128</f>
        <v>Total expenditure allocated, by network level and cost category (EDCM)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Expenditure!F129</f>
        <v>LV services (EDCM)</v>
      </c>
      <c r="G21" s="113" t="str">
        <f>Expenditure!G129</f>
        <v>£ per year</v>
      </c>
      <c r="H21" s="145"/>
      <c r="I21" s="145"/>
      <c r="J21" s="156">
        <f>Expenditure!J129</f>
        <v>0</v>
      </c>
      <c r="K21" s="156">
        <f>Expenditure!K129</f>
        <v>4142282.9776399089</v>
      </c>
      <c r="L21" s="156">
        <f>Expenditure!L129</f>
        <v>2385931.7535237321</v>
      </c>
      <c r="M21" s="156">
        <f>Expenditure!M129</f>
        <v>3189657.3389154007</v>
      </c>
      <c r="N21" s="156">
        <f>Expenditure!N129</f>
        <v>457463.30269361567</v>
      </c>
      <c r="O21" s="156">
        <f>Expenditure!O129</f>
        <v>989775.43340050057</v>
      </c>
      <c r="P21" s="156">
        <f>Expenditure!P129</f>
        <v>96077.788732499292</v>
      </c>
      <c r="Q21" s="156">
        <f>Expenditure!Q129</f>
        <v>720583.41549374466</v>
      </c>
      <c r="R21" s="156">
        <f>Expenditure!R129</f>
        <v>784635.27464874403</v>
      </c>
      <c r="S21" s="156">
        <f>Expenditure!S129</f>
        <v>1537244.6197199889</v>
      </c>
      <c r="T21" s="156">
        <f>Expenditure!T129</f>
        <v>304246.33098624775</v>
      </c>
      <c r="U21" s="156">
        <f>Expenditure!U129</f>
        <v>160129.64788749881</v>
      </c>
      <c r="V21" s="156">
        <f>Expenditure!V129</f>
        <v>112090.75352124916</v>
      </c>
      <c r="W21" s="156">
        <f>Expenditure!W129</f>
        <v>192155.57746499858</v>
      </c>
      <c r="X21" s="156">
        <f>Expenditure!X129</f>
        <v>672544.52112749498</v>
      </c>
      <c r="Y21" s="156">
        <f>Expenditure!Y129</f>
        <v>0</v>
      </c>
      <c r="Z21" s="156">
        <f>Expenditure!Z129</f>
        <v>0</v>
      </c>
      <c r="AA21" s="156">
        <f>Expenditure!AA129</f>
        <v>144116.68309874891</v>
      </c>
      <c r="AB21" s="156">
        <f>Expenditure!AB129</f>
        <v>192155.57746499858</v>
      </c>
      <c r="AC21" s="156">
        <f>Expenditure!AC129</f>
        <v>944764.92253624287</v>
      </c>
      <c r="AD21" s="156">
        <f>Expenditure!AD129</f>
        <v>256207.4366199981</v>
      </c>
      <c r="AE21" s="156">
        <f>Expenditure!AE129</f>
        <v>0</v>
      </c>
      <c r="AF21" s="156">
        <f>Expenditure!AF129</f>
        <v>0</v>
      </c>
      <c r="AG21" s="156">
        <f>Expenditure!AG129</f>
        <v>0</v>
      </c>
      <c r="AH21" s="156">
        <f>Expenditure!AH129</f>
        <v>0</v>
      </c>
      <c r="AI21" s="156">
        <f>Expenditure!AI129</f>
        <v>0</v>
      </c>
      <c r="AJ21" s="156">
        <f>Expenditure!AJ129</f>
        <v>0</v>
      </c>
      <c r="AK21" s="156">
        <f>Expenditure!AK129</f>
        <v>0</v>
      </c>
      <c r="AL21" s="156">
        <f>Expenditure!AL129</f>
        <v>0</v>
      </c>
      <c r="AM21" s="156">
        <f>Expenditure!AM129</f>
        <v>0</v>
      </c>
      <c r="AN21" s="156">
        <f>Expenditure!AN129</f>
        <v>0</v>
      </c>
      <c r="AO21" s="156">
        <f>Expenditure!AO129</f>
        <v>0</v>
      </c>
      <c r="AP21" s="156">
        <f>Expenditure!AP129</f>
        <v>719996</v>
      </c>
      <c r="AQ21" s="156">
        <f>Expenditure!AQ129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Expenditure!F130</f>
        <v>LV mains (EDCM)</v>
      </c>
      <c r="G22" s="115" t="str">
        <f>Expenditure!G130</f>
        <v>£ per year</v>
      </c>
      <c r="H22" s="130"/>
      <c r="I22" s="130"/>
      <c r="J22" s="152">
        <f>Expenditure!J130</f>
        <v>890000.00000000058</v>
      </c>
      <c r="K22" s="152">
        <f>Expenditure!K130</f>
        <v>7541550.8537879996</v>
      </c>
      <c r="L22" s="152">
        <f>Expenditure!L130</f>
        <v>4343890.9775108574</v>
      </c>
      <c r="M22" s="152">
        <f>Expenditure!M130</f>
        <v>5807175.2116978895</v>
      </c>
      <c r="N22" s="152">
        <f>Expenditure!N130</f>
        <v>832869.88832698367</v>
      </c>
      <c r="O22" s="152">
        <f>Expenditure!O130</f>
        <v>1802011.5489726502</v>
      </c>
      <c r="P22" s="152">
        <f>Expenditure!P130</f>
        <v>174921.78432929626</v>
      </c>
      <c r="Q22" s="152">
        <f>Expenditure!Q130</f>
        <v>1311913.3824697221</v>
      </c>
      <c r="R22" s="152">
        <f>Expenditure!R130</f>
        <v>1428527.9053559194</v>
      </c>
      <c r="S22" s="152">
        <f>Expenditure!S130</f>
        <v>2798748.5492687407</v>
      </c>
      <c r="T22" s="152">
        <f>Expenditure!T130</f>
        <v>553918.98370943824</v>
      </c>
      <c r="U22" s="152">
        <f>Expenditure!U130</f>
        <v>291536.30721549381</v>
      </c>
      <c r="V22" s="152">
        <f>Expenditure!V130</f>
        <v>204075.41505084565</v>
      </c>
      <c r="W22" s="152">
        <f>Expenditure!W130</f>
        <v>349843.56865859253</v>
      </c>
      <c r="X22" s="152">
        <f>Expenditure!X130</f>
        <v>1224452.4903050738</v>
      </c>
      <c r="Y22" s="152">
        <f>Expenditure!Y130</f>
        <v>0</v>
      </c>
      <c r="Z22" s="152">
        <f>Expenditure!Z130</f>
        <v>0</v>
      </c>
      <c r="AA22" s="152">
        <f>Expenditure!AA130</f>
        <v>262382.67649394437</v>
      </c>
      <c r="AB22" s="152">
        <f>Expenditure!AB130</f>
        <v>349843.56865859253</v>
      </c>
      <c r="AC22" s="152">
        <f>Expenditure!AC130</f>
        <v>1720064.212571413</v>
      </c>
      <c r="AD22" s="152">
        <f>Expenditure!AD130</f>
        <v>466458.09154479008</v>
      </c>
      <c r="AE22" s="152">
        <f>Expenditure!AE130</f>
        <v>0</v>
      </c>
      <c r="AF22" s="152">
        <f>Expenditure!AF130</f>
        <v>0</v>
      </c>
      <c r="AG22" s="152">
        <f>Expenditure!AG130</f>
        <v>0</v>
      </c>
      <c r="AH22" s="152">
        <f>Expenditure!AH130</f>
        <v>0</v>
      </c>
      <c r="AI22" s="152">
        <f>Expenditure!AI130</f>
        <v>0</v>
      </c>
      <c r="AJ22" s="152">
        <f>Expenditure!AJ130</f>
        <v>0</v>
      </c>
      <c r="AK22" s="152">
        <f>Expenditure!AK130</f>
        <v>0</v>
      </c>
      <c r="AL22" s="152">
        <f>Expenditure!AL130</f>
        <v>0</v>
      </c>
      <c r="AM22" s="152">
        <f>Expenditure!AM130</f>
        <v>0</v>
      </c>
      <c r="AN22" s="152">
        <f>Expenditure!AN130</f>
        <v>0</v>
      </c>
      <c r="AO22" s="152">
        <f>Expenditure!AO130</f>
        <v>0</v>
      </c>
      <c r="AP22" s="152">
        <f>Expenditure!AP130</f>
        <v>0</v>
      </c>
      <c r="AQ22" s="152">
        <f>Expenditure!AQ130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Expenditure!F131</f>
        <v>HV/LV (EDCM)</v>
      </c>
      <c r="G23" s="115" t="str">
        <f>Expenditure!G131</f>
        <v>£ per year</v>
      </c>
      <c r="H23" s="130"/>
      <c r="I23" s="130"/>
      <c r="J23" s="152">
        <f>Expenditure!J131</f>
        <v>0</v>
      </c>
      <c r="K23" s="152">
        <f>Expenditure!K131</f>
        <v>4949684.34005614</v>
      </c>
      <c r="L23" s="152">
        <f>Expenditure!L131</f>
        <v>1071004.7616621684</v>
      </c>
      <c r="M23" s="152">
        <f>Expenditure!M131</f>
        <v>479067.46562606626</v>
      </c>
      <c r="N23" s="152">
        <f>Expenditure!N131</f>
        <v>2714375.9028411033</v>
      </c>
      <c r="O23" s="152">
        <f>Expenditure!O131</f>
        <v>-657.16956374799838</v>
      </c>
      <c r="P23" s="152">
        <f>Expenditure!P131</f>
        <v>43127.708523308793</v>
      </c>
      <c r="Q23" s="152">
        <f>Expenditure!Q131</f>
        <v>323457.81392481591</v>
      </c>
      <c r="R23" s="152">
        <f>Expenditure!R131</f>
        <v>352209.61960702174</v>
      </c>
      <c r="S23" s="152">
        <f>Expenditure!S131</f>
        <v>690043.3363729408</v>
      </c>
      <c r="T23" s="152">
        <f>Expenditure!T131</f>
        <v>136571.07699047783</v>
      </c>
      <c r="U23" s="152">
        <f>Expenditure!U131</f>
        <v>71879.514205514657</v>
      </c>
      <c r="V23" s="152">
        <f>Expenditure!V131</f>
        <v>50315.659943860257</v>
      </c>
      <c r="W23" s="152">
        <f>Expenditure!W131</f>
        <v>86255.417046617586</v>
      </c>
      <c r="X23" s="152">
        <f>Expenditure!X131</f>
        <v>301893.95966316154</v>
      </c>
      <c r="Y23" s="152">
        <f>Expenditure!Y131</f>
        <v>0</v>
      </c>
      <c r="Z23" s="152">
        <f>Expenditure!Z131</f>
        <v>0</v>
      </c>
      <c r="AA23" s="152">
        <f>Expenditure!AA131</f>
        <v>64691.562784963178</v>
      </c>
      <c r="AB23" s="152">
        <f>Expenditure!AB131</f>
        <v>86255.417046617586</v>
      </c>
      <c r="AC23" s="152">
        <f>Expenditure!AC131</f>
        <v>424089.13381253637</v>
      </c>
      <c r="AD23" s="152">
        <f>Expenditure!AD131</f>
        <v>115007.22272882344</v>
      </c>
      <c r="AE23" s="152">
        <f>Expenditure!AE131</f>
        <v>0</v>
      </c>
      <c r="AF23" s="152">
        <f>Expenditure!AF131</f>
        <v>0</v>
      </c>
      <c r="AG23" s="152">
        <f>Expenditure!AG131</f>
        <v>0</v>
      </c>
      <c r="AH23" s="152">
        <f>Expenditure!AH131</f>
        <v>0</v>
      </c>
      <c r="AI23" s="152">
        <f>Expenditure!AI131</f>
        <v>0</v>
      </c>
      <c r="AJ23" s="152">
        <f>Expenditure!AJ131</f>
        <v>0</v>
      </c>
      <c r="AK23" s="152">
        <f>Expenditure!AK131</f>
        <v>0</v>
      </c>
      <c r="AL23" s="152">
        <f>Expenditure!AL131</f>
        <v>0</v>
      </c>
      <c r="AM23" s="152">
        <f>Expenditure!AM131</f>
        <v>0</v>
      </c>
      <c r="AN23" s="152">
        <f>Expenditure!AN131</f>
        <v>0</v>
      </c>
      <c r="AO23" s="152">
        <f>Expenditure!AO131</f>
        <v>0</v>
      </c>
      <c r="AP23" s="152">
        <f>Expenditure!AP131</f>
        <v>0</v>
      </c>
      <c r="AQ23" s="152">
        <f>Expenditure!AQ131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5" t="str">
        <f>Expenditure!F132</f>
        <v>HV (EDCM)</v>
      </c>
      <c r="G24" s="115" t="str">
        <f>Expenditure!G132</f>
        <v>£ per year</v>
      </c>
      <c r="H24" s="130"/>
      <c r="I24" s="130"/>
      <c r="J24" s="152">
        <f>Expenditure!J132</f>
        <v>1160000.0000000002</v>
      </c>
      <c r="K24" s="152">
        <f>Expenditure!K132</f>
        <v>14720209.476768535</v>
      </c>
      <c r="L24" s="152">
        <f>Expenditure!L132</f>
        <v>3826969.7087840694</v>
      </c>
      <c r="M24" s="152">
        <f>Expenditure!M132</f>
        <v>2782527.9650780191</v>
      </c>
      <c r="N24" s="152">
        <f>Expenditure!N132</f>
        <v>851368.72092327662</v>
      </c>
      <c r="O24" s="152">
        <f>Expenditure!O132</f>
        <v>2117547.8805318973</v>
      </c>
      <c r="P24" s="152">
        <f>Expenditure!P132</f>
        <v>154106.16276982831</v>
      </c>
      <c r="Q24" s="152">
        <f>Expenditure!Q132</f>
        <v>1155796.2207737123</v>
      </c>
      <c r="R24" s="152">
        <f>Expenditure!R132</f>
        <v>1258533.6626202643</v>
      </c>
      <c r="S24" s="152">
        <f>Expenditure!S132</f>
        <v>2465698.6043172535</v>
      </c>
      <c r="T24" s="152">
        <f>Expenditure!T132</f>
        <v>488002.84877112298</v>
      </c>
      <c r="U24" s="152">
        <f>Expenditure!U132</f>
        <v>256843.6046163805</v>
      </c>
      <c r="V24" s="152">
        <f>Expenditure!V132</f>
        <v>179790.52323146636</v>
      </c>
      <c r="W24" s="152">
        <f>Expenditure!W132</f>
        <v>308212.32553965662</v>
      </c>
      <c r="X24" s="152">
        <f>Expenditure!X132</f>
        <v>1078743.139388798</v>
      </c>
      <c r="Y24" s="152">
        <f>Expenditure!Y132</f>
        <v>0</v>
      </c>
      <c r="Z24" s="152">
        <f>Expenditure!Z132</f>
        <v>0</v>
      </c>
      <c r="AA24" s="152">
        <f>Expenditure!AA132</f>
        <v>231159.24415474242</v>
      </c>
      <c r="AB24" s="152">
        <f>Expenditure!AB132</f>
        <v>308212.32553965662</v>
      </c>
      <c r="AC24" s="152">
        <f>Expenditure!AC132</f>
        <v>1515377.2672366446</v>
      </c>
      <c r="AD24" s="152">
        <f>Expenditure!AD132</f>
        <v>410949.76738620881</v>
      </c>
      <c r="AE24" s="152">
        <f>Expenditure!AE132</f>
        <v>0</v>
      </c>
      <c r="AF24" s="152">
        <f>Expenditure!AF132</f>
        <v>0</v>
      </c>
      <c r="AG24" s="152">
        <f>Expenditure!AG132</f>
        <v>0</v>
      </c>
      <c r="AH24" s="152">
        <f>Expenditure!AH132</f>
        <v>0</v>
      </c>
      <c r="AI24" s="152">
        <f>Expenditure!AI132</f>
        <v>0</v>
      </c>
      <c r="AJ24" s="152">
        <f>Expenditure!AJ132</f>
        <v>0</v>
      </c>
      <c r="AK24" s="152">
        <f>Expenditure!AK132</f>
        <v>0</v>
      </c>
      <c r="AL24" s="152">
        <f>Expenditure!AL132</f>
        <v>0</v>
      </c>
      <c r="AM24" s="152">
        <f>Expenditure!AM132</f>
        <v>0</v>
      </c>
      <c r="AN24" s="152">
        <f>Expenditure!AN132</f>
        <v>0</v>
      </c>
      <c r="AO24" s="152">
        <f>Expenditure!AO132</f>
        <v>0</v>
      </c>
      <c r="AP24" s="152">
        <f>Expenditure!AP132</f>
        <v>0</v>
      </c>
      <c r="AQ24" s="152">
        <f>Expenditure!AQ132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7" t="str">
        <f>Expenditure!F133</f>
        <v>EHV and 132kV (EDCM)</v>
      </c>
      <c r="G25" s="117" t="str">
        <f>Expenditure!G133</f>
        <v>£ per year</v>
      </c>
      <c r="H25" s="146"/>
      <c r="I25" s="147"/>
      <c r="J25" s="162">
        <f>Expenditure!J133</f>
        <v>4900000</v>
      </c>
      <c r="K25" s="162">
        <f>Expenditure!K133</f>
        <v>13146272.351747425</v>
      </c>
      <c r="L25" s="162">
        <f>Expenditure!L133</f>
        <v>3272202.7985191746</v>
      </c>
      <c r="M25" s="162">
        <f>Expenditure!M133</f>
        <v>1241572.018682624</v>
      </c>
      <c r="N25" s="162">
        <f>Expenditure!N133</f>
        <v>2143922.1852150229</v>
      </c>
      <c r="O25" s="162">
        <f>Expenditure!O133</f>
        <v>391322.30665870052</v>
      </c>
      <c r="P25" s="162">
        <f>Expenditure!P133</f>
        <v>131766.55564506742</v>
      </c>
      <c r="Q25" s="162">
        <f>Expenditure!Q133</f>
        <v>988249.16733800573</v>
      </c>
      <c r="R25" s="162">
        <f>Expenditure!R133</f>
        <v>1076093.5377680503</v>
      </c>
      <c r="S25" s="162">
        <f>Expenditure!S133</f>
        <v>2108264.8903210792</v>
      </c>
      <c r="T25" s="162">
        <f>Expenditure!T133</f>
        <v>417260.75954271352</v>
      </c>
      <c r="U25" s="162">
        <f>Expenditure!U133</f>
        <v>219610.92607511237</v>
      </c>
      <c r="V25" s="162">
        <f>Expenditure!V133</f>
        <v>153727.64825257866</v>
      </c>
      <c r="W25" s="162">
        <f>Expenditure!W133</f>
        <v>263533.11129013484</v>
      </c>
      <c r="X25" s="162">
        <f>Expenditure!X133</f>
        <v>922365.88951547199</v>
      </c>
      <c r="Y25" s="162">
        <f>Expenditure!Y133</f>
        <v>0</v>
      </c>
      <c r="Z25" s="162">
        <f>Expenditure!Z133</f>
        <v>0</v>
      </c>
      <c r="AA25" s="162">
        <f>Expenditure!AA133</f>
        <v>197649.8334676011</v>
      </c>
      <c r="AB25" s="162">
        <f>Expenditure!AB133</f>
        <v>263533.11129013484</v>
      </c>
      <c r="AC25" s="162">
        <f>Expenditure!AC133</f>
        <v>1295704.4638431629</v>
      </c>
      <c r="AD25" s="162">
        <f>Expenditure!AD133</f>
        <v>351377.48172017979</v>
      </c>
      <c r="AE25" s="162">
        <f>Expenditure!AE133</f>
        <v>0</v>
      </c>
      <c r="AF25" s="162">
        <f>Expenditure!AF133</f>
        <v>0</v>
      </c>
      <c r="AG25" s="162">
        <f>Expenditure!AG133</f>
        <v>0</v>
      </c>
      <c r="AH25" s="162">
        <f>Expenditure!AH133</f>
        <v>0</v>
      </c>
      <c r="AI25" s="162">
        <f>Expenditure!AI133</f>
        <v>0</v>
      </c>
      <c r="AJ25" s="162">
        <f>Expenditure!AJ133</f>
        <v>0</v>
      </c>
      <c r="AK25" s="162">
        <f>Expenditure!AK133</f>
        <v>0</v>
      </c>
      <c r="AL25" s="162">
        <f>Expenditure!AL133</f>
        <v>0</v>
      </c>
      <c r="AM25" s="162">
        <f>Expenditure!AM133</f>
        <v>0</v>
      </c>
      <c r="AN25" s="162">
        <f>Expenditure!AN133</f>
        <v>0</v>
      </c>
      <c r="AO25" s="162">
        <f>Expenditure!AO133</f>
        <v>0</v>
      </c>
      <c r="AP25" s="162">
        <f>Expenditure!AP133</f>
        <v>0</v>
      </c>
      <c r="AQ25" s="162">
        <f>Expenditure!AQ133</f>
        <v>0</v>
      </c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3"/>
      <c r="AT26" s="42"/>
    </row>
    <row r="27" spans="1:46" x14ac:dyDescent="0.25">
      <c r="A27" s="73"/>
      <c r="B27" s="73"/>
      <c r="C27" s="73"/>
      <c r="D27" s="73"/>
      <c r="E27" s="112" t="str">
        <f>Expenditure!E135</f>
        <v>Total expenditure allocated, by network level and cost category (CDCM)</v>
      </c>
      <c r="F27" s="73"/>
      <c r="G27" s="73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3" t="str">
        <f>Expenditure!F136</f>
        <v>LV services (CDCM)</v>
      </c>
      <c r="G28" s="113" t="str">
        <f>Expenditure!G136</f>
        <v>£ per year</v>
      </c>
      <c r="H28" s="145"/>
      <c r="I28" s="145"/>
      <c r="J28" s="156">
        <f>Expenditure!J136</f>
        <v>0</v>
      </c>
      <c r="K28" s="156">
        <f>Expenditure!K136</f>
        <v>4139794.4208931457</v>
      </c>
      <c r="L28" s="156">
        <f>Expenditure!L136</f>
        <v>2438902.4614191204</v>
      </c>
      <c r="M28" s="156">
        <f>Expenditure!M136</f>
        <v>3193567.9280888857</v>
      </c>
      <c r="N28" s="156">
        <f>Expenditure!N136</f>
        <v>458174.31890697661</v>
      </c>
      <c r="O28" s="156">
        <f>Expenditure!O136</f>
        <v>989742.93052260019</v>
      </c>
      <c r="P28" s="156">
        <f>Expenditure!P136</f>
        <v>98210.837372582027</v>
      </c>
      <c r="Q28" s="156">
        <f>Expenditure!Q136</f>
        <v>736581.28029436525</v>
      </c>
      <c r="R28" s="156">
        <f>Expenditure!R136</f>
        <v>802055.1718760865</v>
      </c>
      <c r="S28" s="156">
        <f>Expenditure!S136</f>
        <v>1571373.3979613129</v>
      </c>
      <c r="T28" s="156">
        <f>Expenditure!T136</f>
        <v>311000.98501317645</v>
      </c>
      <c r="U28" s="156">
        <f>Expenditure!U136</f>
        <v>163684.7289543034</v>
      </c>
      <c r="V28" s="156">
        <f>Expenditure!V136</f>
        <v>114579.31026801237</v>
      </c>
      <c r="W28" s="156">
        <f>Expenditure!W136</f>
        <v>196421.67474516405</v>
      </c>
      <c r="X28" s="156">
        <f>Expenditure!X136</f>
        <v>687475.86160807428</v>
      </c>
      <c r="Y28" s="156">
        <f>Expenditure!Y136</f>
        <v>0</v>
      </c>
      <c r="Z28" s="156">
        <f>Expenditure!Z136</f>
        <v>0</v>
      </c>
      <c r="AA28" s="156">
        <f>Expenditure!AA136</f>
        <v>147316.25605887303</v>
      </c>
      <c r="AB28" s="156">
        <f>Expenditure!AB136</f>
        <v>196421.67474516405</v>
      </c>
      <c r="AC28" s="156">
        <f>Expenditure!AC136</f>
        <v>965739.90083038982</v>
      </c>
      <c r="AD28" s="156">
        <f>Expenditure!AD136</f>
        <v>261895.56632688543</v>
      </c>
      <c r="AE28" s="156">
        <f>Expenditure!AE136</f>
        <v>0</v>
      </c>
      <c r="AF28" s="156">
        <f>Expenditure!AF136</f>
        <v>0</v>
      </c>
      <c r="AG28" s="156">
        <f>Expenditure!AG136</f>
        <v>0</v>
      </c>
      <c r="AH28" s="156">
        <f>Expenditure!AH136</f>
        <v>0</v>
      </c>
      <c r="AI28" s="156">
        <f>Expenditure!AI136</f>
        <v>0</v>
      </c>
      <c r="AJ28" s="156">
        <f>Expenditure!AJ136</f>
        <v>0</v>
      </c>
      <c r="AK28" s="156">
        <f>Expenditure!AK136</f>
        <v>0</v>
      </c>
      <c r="AL28" s="156">
        <f>Expenditure!AL136</f>
        <v>0</v>
      </c>
      <c r="AM28" s="156">
        <f>Expenditure!AM136</f>
        <v>0</v>
      </c>
      <c r="AN28" s="156">
        <f>Expenditure!AN136</f>
        <v>0</v>
      </c>
      <c r="AO28" s="156">
        <f>Expenditure!AO136</f>
        <v>0</v>
      </c>
      <c r="AP28" s="156">
        <f>Expenditure!AP136</f>
        <v>719996</v>
      </c>
      <c r="AQ28" s="156">
        <f>Expenditure!AQ136</f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tr">
        <f>Expenditure!F137</f>
        <v>LV mains (CDCM)</v>
      </c>
      <c r="G29" s="115" t="str">
        <f>Expenditure!G137</f>
        <v>£ per year</v>
      </c>
      <c r="H29" s="130"/>
      <c r="I29" s="130"/>
      <c r="J29" s="152">
        <f>Expenditure!J137</f>
        <v>890000.00000000058</v>
      </c>
      <c r="K29" s="152">
        <f>Expenditure!K137</f>
        <v>7537020.1210110364</v>
      </c>
      <c r="L29" s="152">
        <f>Expenditure!L137</f>
        <v>4440330.8609062275</v>
      </c>
      <c r="M29" s="152">
        <f>Expenditure!M137</f>
        <v>5814294.9346331181</v>
      </c>
      <c r="N29" s="152">
        <f>Expenditure!N137</f>
        <v>834164.38340611616</v>
      </c>
      <c r="O29" s="152">
        <f>Expenditure!O137</f>
        <v>1801952.3733663715</v>
      </c>
      <c r="P29" s="152">
        <f>Expenditure!P137</f>
        <v>178805.26956669372</v>
      </c>
      <c r="Q29" s="152">
        <f>Expenditure!Q137</f>
        <v>1341039.5217502029</v>
      </c>
      <c r="R29" s="152">
        <f>Expenditure!R137</f>
        <v>1460243.0347946652</v>
      </c>
      <c r="S29" s="152">
        <f>Expenditure!S137</f>
        <v>2860884.3130671</v>
      </c>
      <c r="T29" s="152">
        <f>Expenditure!T137</f>
        <v>566216.68696119683</v>
      </c>
      <c r="U29" s="152">
        <f>Expenditure!U137</f>
        <v>298008.78261115623</v>
      </c>
      <c r="V29" s="152">
        <f>Expenditure!V137</f>
        <v>208606.14782780936</v>
      </c>
      <c r="W29" s="152">
        <f>Expenditure!W137</f>
        <v>357610.53913338744</v>
      </c>
      <c r="X29" s="152">
        <f>Expenditure!X137</f>
        <v>1251636.886966856</v>
      </c>
      <c r="Y29" s="152">
        <f>Expenditure!Y137</f>
        <v>0</v>
      </c>
      <c r="Z29" s="152">
        <f>Expenditure!Z137</f>
        <v>0</v>
      </c>
      <c r="AA29" s="152">
        <f>Expenditure!AA137</f>
        <v>268207.90435004054</v>
      </c>
      <c r="AB29" s="152">
        <f>Expenditure!AB137</f>
        <v>357610.53913338744</v>
      </c>
      <c r="AC29" s="152">
        <f>Expenditure!AC137</f>
        <v>1758251.8174058213</v>
      </c>
      <c r="AD29" s="152">
        <f>Expenditure!AD137</f>
        <v>476814.05217784992</v>
      </c>
      <c r="AE29" s="152">
        <f>Expenditure!AE137</f>
        <v>0</v>
      </c>
      <c r="AF29" s="152">
        <f>Expenditure!AF137</f>
        <v>0</v>
      </c>
      <c r="AG29" s="152">
        <f>Expenditure!AG137</f>
        <v>0</v>
      </c>
      <c r="AH29" s="152">
        <f>Expenditure!AH137</f>
        <v>0</v>
      </c>
      <c r="AI29" s="152">
        <f>Expenditure!AI137</f>
        <v>0</v>
      </c>
      <c r="AJ29" s="152">
        <f>Expenditure!AJ137</f>
        <v>0</v>
      </c>
      <c r="AK29" s="152">
        <f>Expenditure!AK137</f>
        <v>0</v>
      </c>
      <c r="AL29" s="152">
        <f>Expenditure!AL137</f>
        <v>0</v>
      </c>
      <c r="AM29" s="152">
        <f>Expenditure!AM137</f>
        <v>0</v>
      </c>
      <c r="AN29" s="152">
        <f>Expenditure!AN137</f>
        <v>0</v>
      </c>
      <c r="AO29" s="152">
        <f>Expenditure!AO137</f>
        <v>0</v>
      </c>
      <c r="AP29" s="152">
        <f>Expenditure!AP137</f>
        <v>0</v>
      </c>
      <c r="AQ29" s="152">
        <f>Expenditure!AQ137</f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5" t="str">
        <f>Expenditure!F138</f>
        <v>HV/LV (CDCM)</v>
      </c>
      <c r="G30" s="115" t="str">
        <f>Expenditure!G138</f>
        <v>£ per year</v>
      </c>
      <c r="H30" s="130"/>
      <c r="I30" s="130"/>
      <c r="J30" s="152">
        <f>Expenditure!J138</f>
        <v>0</v>
      </c>
      <c r="K30" s="152">
        <f>Expenditure!K138</f>
        <v>4948567.2686556224</v>
      </c>
      <c r="L30" s="152">
        <f>Expenditure!L138</f>
        <v>1094782.4243303442</v>
      </c>
      <c r="M30" s="152">
        <f>Expenditure!M138</f>
        <v>480822.86354116647</v>
      </c>
      <c r="N30" s="152">
        <f>Expenditure!N138</f>
        <v>2714695.0660983939</v>
      </c>
      <c r="O30" s="152">
        <f>Expenditure!O138</f>
        <v>-671.7595606947358</v>
      </c>
      <c r="P30" s="152">
        <f>Expenditure!P138</f>
        <v>44085.198295181646</v>
      </c>
      <c r="Q30" s="152">
        <f>Expenditure!Q138</f>
        <v>330638.98721386236</v>
      </c>
      <c r="R30" s="152">
        <f>Expenditure!R138</f>
        <v>360029.11941065005</v>
      </c>
      <c r="S30" s="152">
        <f>Expenditure!S138</f>
        <v>705363.17272290657</v>
      </c>
      <c r="T30" s="152">
        <f>Expenditure!T138</f>
        <v>139603.12793474187</v>
      </c>
      <c r="U30" s="152">
        <f>Expenditure!U138</f>
        <v>73475.33049196942</v>
      </c>
      <c r="V30" s="152">
        <f>Expenditure!V138</f>
        <v>51432.73134437859</v>
      </c>
      <c r="W30" s="152">
        <f>Expenditure!W138</f>
        <v>88170.396590363292</v>
      </c>
      <c r="X30" s="152">
        <f>Expenditure!X138</f>
        <v>308596.38806627155</v>
      </c>
      <c r="Y30" s="152">
        <f>Expenditure!Y138</f>
        <v>0</v>
      </c>
      <c r="Z30" s="152">
        <f>Expenditure!Z138</f>
        <v>0</v>
      </c>
      <c r="AA30" s="152">
        <f>Expenditure!AA138</f>
        <v>66127.797442772469</v>
      </c>
      <c r="AB30" s="152">
        <f>Expenditure!AB138</f>
        <v>88170.396590363292</v>
      </c>
      <c r="AC30" s="152">
        <f>Expenditure!AC138</f>
        <v>433504.44990261947</v>
      </c>
      <c r="AD30" s="152">
        <f>Expenditure!AD138</f>
        <v>117560.52878715107</v>
      </c>
      <c r="AE30" s="152">
        <f>Expenditure!AE138</f>
        <v>0</v>
      </c>
      <c r="AF30" s="152">
        <f>Expenditure!AF138</f>
        <v>0</v>
      </c>
      <c r="AG30" s="152">
        <f>Expenditure!AG138</f>
        <v>0</v>
      </c>
      <c r="AH30" s="152">
        <f>Expenditure!AH138</f>
        <v>0</v>
      </c>
      <c r="AI30" s="152">
        <f>Expenditure!AI138</f>
        <v>0</v>
      </c>
      <c r="AJ30" s="152">
        <f>Expenditure!AJ138</f>
        <v>0</v>
      </c>
      <c r="AK30" s="152">
        <f>Expenditure!AK138</f>
        <v>0</v>
      </c>
      <c r="AL30" s="152">
        <f>Expenditure!AL138</f>
        <v>0</v>
      </c>
      <c r="AM30" s="152">
        <f>Expenditure!AM138</f>
        <v>0</v>
      </c>
      <c r="AN30" s="152">
        <f>Expenditure!AN138</f>
        <v>0</v>
      </c>
      <c r="AO30" s="152">
        <f>Expenditure!AO138</f>
        <v>0</v>
      </c>
      <c r="AP30" s="152">
        <f>Expenditure!AP138</f>
        <v>0</v>
      </c>
      <c r="AQ30" s="152">
        <f>Expenditure!AQ138</f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115" t="str">
        <f>Expenditure!F139</f>
        <v>HV (CDCM)</v>
      </c>
      <c r="G31" s="115" t="str">
        <f>Expenditure!G139</f>
        <v>£ per year</v>
      </c>
      <c r="H31" s="130"/>
      <c r="I31" s="130"/>
      <c r="J31" s="152">
        <f>Expenditure!J139</f>
        <v>1160000.0000000002</v>
      </c>
      <c r="K31" s="152">
        <f>Expenditure!K139</f>
        <v>14716217.899358833</v>
      </c>
      <c r="L31" s="152">
        <f>Expenditure!L139</f>
        <v>3911933.2850762713</v>
      </c>
      <c r="M31" s="152">
        <f>Expenditure!M139</f>
        <v>2788800.4438646915</v>
      </c>
      <c r="N31" s="152">
        <f>Expenditure!N139</f>
        <v>852509.17161176249</v>
      </c>
      <c r="O31" s="152">
        <f>Expenditure!O139</f>
        <v>2117495.7467988227</v>
      </c>
      <c r="P31" s="152">
        <f>Expenditure!P139</f>
        <v>157527.5148352861</v>
      </c>
      <c r="Q31" s="152">
        <f>Expenditure!Q139</f>
        <v>1181456.3612646456</v>
      </c>
      <c r="R31" s="152">
        <f>Expenditure!R139</f>
        <v>1286474.7044881694</v>
      </c>
      <c r="S31" s="152">
        <f>Expenditure!S139</f>
        <v>2520440.2373645781</v>
      </c>
      <c r="T31" s="152">
        <f>Expenditure!T139</f>
        <v>498837.13031173928</v>
      </c>
      <c r="U31" s="152">
        <f>Expenditure!U139</f>
        <v>262545.85805881012</v>
      </c>
      <c r="V31" s="152">
        <f>Expenditure!V139</f>
        <v>183782.10064116711</v>
      </c>
      <c r="W31" s="152">
        <f>Expenditure!W139</f>
        <v>315055.0296705722</v>
      </c>
      <c r="X31" s="152">
        <f>Expenditure!X139</f>
        <v>1102692.6038470026</v>
      </c>
      <c r="Y31" s="152">
        <f>Expenditure!Y139</f>
        <v>0</v>
      </c>
      <c r="Z31" s="152">
        <f>Expenditure!Z139</f>
        <v>0</v>
      </c>
      <c r="AA31" s="152">
        <f>Expenditure!AA139</f>
        <v>236291.27225292911</v>
      </c>
      <c r="AB31" s="152">
        <f>Expenditure!AB139</f>
        <v>315055.0296705722</v>
      </c>
      <c r="AC31" s="152">
        <f>Expenditure!AC139</f>
        <v>1549020.5625469796</v>
      </c>
      <c r="AD31" s="152">
        <f>Expenditure!AD139</f>
        <v>420073.37289409625</v>
      </c>
      <c r="AE31" s="152">
        <f>Expenditure!AE139</f>
        <v>0</v>
      </c>
      <c r="AF31" s="152">
        <f>Expenditure!AF139</f>
        <v>0</v>
      </c>
      <c r="AG31" s="152">
        <f>Expenditure!AG139</f>
        <v>0</v>
      </c>
      <c r="AH31" s="152">
        <f>Expenditure!AH139</f>
        <v>0</v>
      </c>
      <c r="AI31" s="152">
        <f>Expenditure!AI139</f>
        <v>0</v>
      </c>
      <c r="AJ31" s="152">
        <f>Expenditure!AJ139</f>
        <v>0</v>
      </c>
      <c r="AK31" s="152">
        <f>Expenditure!AK139</f>
        <v>0</v>
      </c>
      <c r="AL31" s="152">
        <f>Expenditure!AL139</f>
        <v>0</v>
      </c>
      <c r="AM31" s="152">
        <f>Expenditure!AM139</f>
        <v>0</v>
      </c>
      <c r="AN31" s="152">
        <f>Expenditure!AN139</f>
        <v>0</v>
      </c>
      <c r="AO31" s="152">
        <f>Expenditure!AO139</f>
        <v>0</v>
      </c>
      <c r="AP31" s="152">
        <f>Expenditure!AP139</f>
        <v>0</v>
      </c>
      <c r="AQ31" s="152">
        <f>Expenditure!AQ139</f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7" t="str">
        <f>Expenditure!F140</f>
        <v>EHV and 132kV (CDCM)</v>
      </c>
      <c r="G32" s="117" t="str">
        <f>Expenditure!G140</f>
        <v>£ per year</v>
      </c>
      <c r="H32" s="146"/>
      <c r="I32" s="147"/>
      <c r="J32" s="162">
        <f>Expenditure!J140</f>
        <v>4900000</v>
      </c>
      <c r="K32" s="162">
        <f>Expenditure!K140</f>
        <v>13158400.290081371</v>
      </c>
      <c r="L32" s="162">
        <f>Expenditure!L140</f>
        <v>3014050.9682680354</v>
      </c>
      <c r="M32" s="162">
        <f>Expenditure!M140</f>
        <v>1222513.8298721372</v>
      </c>
      <c r="N32" s="162">
        <f>Expenditure!N140</f>
        <v>2140457.0599767524</v>
      </c>
      <c r="O32" s="162">
        <f>Expenditure!O140</f>
        <v>391480.70887290133</v>
      </c>
      <c r="P32" s="162">
        <f>Expenditure!P140</f>
        <v>121371.17993025646</v>
      </c>
      <c r="Q32" s="162">
        <f>Expenditure!Q140</f>
        <v>910283.84947692347</v>
      </c>
      <c r="R32" s="162">
        <f>Expenditure!R140</f>
        <v>991197.96943042753</v>
      </c>
      <c r="S32" s="162">
        <f>Expenditure!S140</f>
        <v>1941938.8788841036</v>
      </c>
      <c r="T32" s="162">
        <f>Expenditure!T140</f>
        <v>384342.06977914547</v>
      </c>
      <c r="U32" s="162">
        <f>Expenditure!U140</f>
        <v>202285.29988376077</v>
      </c>
      <c r="V32" s="162">
        <f>Expenditure!V140</f>
        <v>141599.70991863252</v>
      </c>
      <c r="W32" s="162">
        <f>Expenditure!W140</f>
        <v>242742.35986051292</v>
      </c>
      <c r="X32" s="162">
        <f>Expenditure!X140</f>
        <v>849598.25951179524</v>
      </c>
      <c r="Y32" s="162">
        <f>Expenditure!Y140</f>
        <v>0</v>
      </c>
      <c r="Z32" s="162">
        <f>Expenditure!Z140</f>
        <v>0</v>
      </c>
      <c r="AA32" s="162">
        <f>Expenditure!AA140</f>
        <v>182056.76989538467</v>
      </c>
      <c r="AB32" s="162">
        <f>Expenditure!AB140</f>
        <v>242742.35986051292</v>
      </c>
      <c r="AC32" s="162">
        <f>Expenditure!AC140</f>
        <v>1193483.2693141883</v>
      </c>
      <c r="AD32" s="162">
        <f>Expenditure!AD140</f>
        <v>323656.47981401719</v>
      </c>
      <c r="AE32" s="162">
        <f>Expenditure!AE140</f>
        <v>0</v>
      </c>
      <c r="AF32" s="162">
        <f>Expenditure!AF140</f>
        <v>0</v>
      </c>
      <c r="AG32" s="162">
        <f>Expenditure!AG140</f>
        <v>0</v>
      </c>
      <c r="AH32" s="162">
        <f>Expenditure!AH140</f>
        <v>0</v>
      </c>
      <c r="AI32" s="162">
        <f>Expenditure!AI140</f>
        <v>0</v>
      </c>
      <c r="AJ32" s="162">
        <f>Expenditure!AJ140</f>
        <v>0</v>
      </c>
      <c r="AK32" s="162">
        <f>Expenditure!AK140</f>
        <v>0</v>
      </c>
      <c r="AL32" s="162">
        <f>Expenditure!AL140</f>
        <v>0</v>
      </c>
      <c r="AM32" s="162">
        <f>Expenditure!AM140</f>
        <v>0</v>
      </c>
      <c r="AN32" s="162">
        <f>Expenditure!AN140</f>
        <v>0</v>
      </c>
      <c r="AO32" s="162">
        <f>Expenditure!AO140</f>
        <v>0</v>
      </c>
      <c r="AP32" s="162">
        <f>Expenditure!AP140</f>
        <v>0</v>
      </c>
      <c r="AQ32" s="162">
        <f>Expenditure!AQ140</f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101"/>
      <c r="C34" s="110" t="s">
        <v>642</v>
      </c>
      <c r="D34" s="110"/>
      <c r="E34" s="110"/>
      <c r="F34" s="110"/>
      <c r="G34" s="110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0"/>
      <c r="AT34" s="42"/>
    </row>
    <row r="35" spans="1:46" x14ac:dyDescent="0.25">
      <c r="A35" s="73"/>
      <c r="B35" s="73"/>
      <c r="C35" s="109"/>
      <c r="D35" s="109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x14ac:dyDescent="0.25">
      <c r="A36" s="73"/>
      <c r="B36" s="73"/>
      <c r="C36" s="73"/>
      <c r="D36" s="109"/>
      <c r="E36" s="115" t="s">
        <v>249</v>
      </c>
      <c r="F36" s="73"/>
      <c r="G36" s="115" t="s">
        <v>44</v>
      </c>
      <c r="H36" s="135"/>
      <c r="I36" s="135"/>
      <c r="J36" s="166">
        <f>'Fixed inputs'!H95</f>
        <v>1</v>
      </c>
      <c r="K36" s="166">
        <f>'Fixed inputs'!H96</f>
        <v>1</v>
      </c>
      <c r="L36" s="166">
        <f>'Fixed inputs'!H97</f>
        <v>0.23499999999999999</v>
      </c>
      <c r="M36" s="166">
        <f>'Fixed inputs'!H98</f>
        <v>0.23499999999999999</v>
      </c>
      <c r="N36" s="166">
        <f>'Fixed inputs'!H99</f>
        <v>0.23499999999999999</v>
      </c>
      <c r="O36" s="166">
        <f>'Fixed inputs'!H100</f>
        <v>0.23499999999999999</v>
      </c>
      <c r="P36" s="166">
        <f>'Fixed inputs'!H101</f>
        <v>0.52569999999999995</v>
      </c>
      <c r="Q36" s="166">
        <f>'Fixed inputs'!H102</f>
        <v>0.52569999999999995</v>
      </c>
      <c r="R36" s="166">
        <f>'Fixed inputs'!H103</f>
        <v>0.52569999999999995</v>
      </c>
      <c r="S36" s="166">
        <f>'Fixed inputs'!H104</f>
        <v>0.52569999999999995</v>
      </c>
      <c r="T36" s="166">
        <f>'Fixed inputs'!H105</f>
        <v>0.52569999999999995</v>
      </c>
      <c r="U36" s="166">
        <f>'Fixed inputs'!H106</f>
        <v>0.52569999999999995</v>
      </c>
      <c r="V36" s="166">
        <f>'Fixed inputs'!H107</f>
        <v>0.52569999999999995</v>
      </c>
      <c r="W36" s="166">
        <f>'Fixed inputs'!H108</f>
        <v>0.52569999999999995</v>
      </c>
      <c r="X36" s="166">
        <f>'Fixed inputs'!H109</f>
        <v>0.52569999999999995</v>
      </c>
      <c r="Y36" s="166">
        <f>'Fixed inputs'!H110</f>
        <v>0.52569999999999995</v>
      </c>
      <c r="Z36" s="166">
        <f>'Fixed inputs'!H111</f>
        <v>0.52569999999999995</v>
      </c>
      <c r="AA36" s="166">
        <f>'Fixed inputs'!H112</f>
        <v>0.52569999999999995</v>
      </c>
      <c r="AB36" s="166">
        <f>'Fixed inputs'!H113</f>
        <v>0.52569999999999995</v>
      </c>
      <c r="AC36" s="166">
        <f>'Fixed inputs'!H114</f>
        <v>0.52569999999999995</v>
      </c>
      <c r="AD36" s="166">
        <f>'Fixed inputs'!H115</f>
        <v>0.52569999999999995</v>
      </c>
      <c r="AE36" s="166">
        <f>'Fixed inputs'!H116</f>
        <v>0</v>
      </c>
      <c r="AF36" s="166">
        <f>'Fixed inputs'!H117</f>
        <v>0.57699999999999996</v>
      </c>
      <c r="AG36" s="166">
        <f>'Fixed inputs'!H118</f>
        <v>0</v>
      </c>
      <c r="AH36" s="166">
        <f>'Fixed inputs'!H119</f>
        <v>0</v>
      </c>
      <c r="AI36" s="166">
        <f>'Fixed inputs'!H120</f>
        <v>0</v>
      </c>
      <c r="AJ36" s="166">
        <f>'Fixed inputs'!H121</f>
        <v>0</v>
      </c>
      <c r="AK36" s="166">
        <f>'Fixed inputs'!H122</f>
        <v>0</v>
      </c>
      <c r="AL36" s="166">
        <f>'Fixed inputs'!H123</f>
        <v>0</v>
      </c>
      <c r="AM36" s="166">
        <f>'Fixed inputs'!H124</f>
        <v>0</v>
      </c>
      <c r="AN36" s="166">
        <f>'Fixed inputs'!H125</f>
        <v>0</v>
      </c>
      <c r="AO36" s="166">
        <f>'Fixed inputs'!H126</f>
        <v>0</v>
      </c>
      <c r="AP36" s="166">
        <f>'Fixed inputs'!H127</f>
        <v>0</v>
      </c>
      <c r="AQ36" s="166">
        <f>'Fixed inputs'!H128</f>
        <v>0</v>
      </c>
      <c r="AR36" s="74"/>
      <c r="AS36" s="73"/>
      <c r="AT36" s="42"/>
    </row>
    <row r="37" spans="1:46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115"/>
      <c r="B38" s="73"/>
      <c r="C38" s="73"/>
      <c r="D38" s="73"/>
      <c r="E38" s="115" t="s">
        <v>272</v>
      </c>
      <c r="F38" s="73"/>
      <c r="G38" s="115" t="s">
        <v>44</v>
      </c>
      <c r="H38" s="135"/>
      <c r="I38" s="131" t="s">
        <v>314</v>
      </c>
      <c r="J38" s="135">
        <f t="shared" ref="J38:AQ38" si="0">1 - J36</f>
        <v>0</v>
      </c>
      <c r="K38" s="135">
        <f t="shared" si="0"/>
        <v>0</v>
      </c>
      <c r="L38" s="135">
        <f t="shared" si="0"/>
        <v>0.76500000000000001</v>
      </c>
      <c r="M38" s="135">
        <f t="shared" si="0"/>
        <v>0.76500000000000001</v>
      </c>
      <c r="N38" s="135">
        <f t="shared" si="0"/>
        <v>0.76500000000000001</v>
      </c>
      <c r="O38" s="135">
        <f t="shared" si="0"/>
        <v>0.76500000000000001</v>
      </c>
      <c r="P38" s="135">
        <f t="shared" si="0"/>
        <v>0.47430000000000005</v>
      </c>
      <c r="Q38" s="135">
        <f t="shared" si="0"/>
        <v>0.47430000000000005</v>
      </c>
      <c r="R38" s="135">
        <f t="shared" si="0"/>
        <v>0.47430000000000005</v>
      </c>
      <c r="S38" s="135">
        <f t="shared" si="0"/>
        <v>0.47430000000000005</v>
      </c>
      <c r="T38" s="135">
        <f t="shared" si="0"/>
        <v>0.47430000000000005</v>
      </c>
      <c r="U38" s="135">
        <f t="shared" si="0"/>
        <v>0.47430000000000005</v>
      </c>
      <c r="V38" s="135">
        <f t="shared" si="0"/>
        <v>0.47430000000000005</v>
      </c>
      <c r="W38" s="135">
        <f t="shared" si="0"/>
        <v>0.47430000000000005</v>
      </c>
      <c r="X38" s="135">
        <f t="shared" si="0"/>
        <v>0.47430000000000005</v>
      </c>
      <c r="Y38" s="135">
        <f t="shared" si="0"/>
        <v>0.47430000000000005</v>
      </c>
      <c r="Z38" s="135">
        <f t="shared" si="0"/>
        <v>0.47430000000000005</v>
      </c>
      <c r="AA38" s="135">
        <f t="shared" si="0"/>
        <v>0.47430000000000005</v>
      </c>
      <c r="AB38" s="135">
        <f t="shared" si="0"/>
        <v>0.47430000000000005</v>
      </c>
      <c r="AC38" s="135">
        <f t="shared" si="0"/>
        <v>0.47430000000000005</v>
      </c>
      <c r="AD38" s="135">
        <f t="shared" si="0"/>
        <v>0.47430000000000005</v>
      </c>
      <c r="AE38" s="135">
        <f t="shared" si="0"/>
        <v>1</v>
      </c>
      <c r="AF38" s="135">
        <f t="shared" si="0"/>
        <v>0.42300000000000004</v>
      </c>
      <c r="AG38" s="135">
        <f t="shared" si="0"/>
        <v>1</v>
      </c>
      <c r="AH38" s="135">
        <f t="shared" si="0"/>
        <v>1</v>
      </c>
      <c r="AI38" s="135">
        <f t="shared" si="0"/>
        <v>1</v>
      </c>
      <c r="AJ38" s="135">
        <f t="shared" si="0"/>
        <v>1</v>
      </c>
      <c r="AK38" s="135">
        <f t="shared" si="0"/>
        <v>1</v>
      </c>
      <c r="AL38" s="135">
        <f t="shared" si="0"/>
        <v>1</v>
      </c>
      <c r="AM38" s="135">
        <f t="shared" si="0"/>
        <v>1</v>
      </c>
      <c r="AN38" s="135">
        <f t="shared" si="0"/>
        <v>1</v>
      </c>
      <c r="AO38" s="135">
        <f t="shared" si="0"/>
        <v>1</v>
      </c>
      <c r="AP38" s="135">
        <f t="shared" ref="AP38" si="1">1 - AP36</f>
        <v>1</v>
      </c>
      <c r="AQ38" s="135">
        <f t="shared" si="0"/>
        <v>1</v>
      </c>
      <c r="AR38" s="74"/>
      <c r="AS38" s="115" t="s">
        <v>575</v>
      </c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101"/>
      <c r="C40" s="110" t="s">
        <v>643</v>
      </c>
      <c r="D40" s="110"/>
      <c r="E40" s="110"/>
      <c r="F40" s="110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0"/>
      <c r="AT40" s="42"/>
    </row>
    <row r="41" spans="1:46" x14ac:dyDescent="0.25">
      <c r="A41" s="73"/>
      <c r="B41" s="73"/>
      <c r="C41" s="109"/>
      <c r="D41" s="109"/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115"/>
      <c r="B42" s="73"/>
      <c r="C42" s="73"/>
      <c r="D42" s="109"/>
      <c r="E42" s="112" t="s">
        <v>553</v>
      </c>
      <c r="F42" s="73"/>
      <c r="G42" s="73"/>
      <c r="H42" s="74"/>
      <c r="I42" s="132" t="s">
        <v>314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115" t="s">
        <v>575</v>
      </c>
      <c r="AT42" s="42"/>
    </row>
    <row r="43" spans="1:46" x14ac:dyDescent="0.25">
      <c r="A43" s="73"/>
      <c r="B43" s="73"/>
      <c r="C43" s="73"/>
      <c r="D43" s="73"/>
      <c r="E43" s="73"/>
      <c r="F43" s="113" t="s">
        <v>287</v>
      </c>
      <c r="G43" s="113" t="str">
        <f>Expenditure!G$19</f>
        <v>£ per year</v>
      </c>
      <c r="H43" s="145">
        <f>SUMPRODUCT(J21:AQ21, J$38:AQ$38)</f>
        <v>8993729.8829620909</v>
      </c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73"/>
      <c r="AT43" s="42"/>
    </row>
    <row r="44" spans="1:46" x14ac:dyDescent="0.25">
      <c r="A44" s="73"/>
      <c r="B44" s="73"/>
      <c r="C44" s="73"/>
      <c r="D44" s="73"/>
      <c r="E44" s="73"/>
      <c r="F44" s="115" t="s">
        <v>288</v>
      </c>
      <c r="G44" s="115" t="str">
        <f>Expenditure!G$19</f>
        <v>£ per year</v>
      </c>
      <c r="H44" s="130">
        <f>SUMPRODUCT(J22:AQ22, J$38:AQ$38)</f>
        <v>15063380.547849108</v>
      </c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73"/>
      <c r="AT44" s="42"/>
    </row>
    <row r="45" spans="1:46" x14ac:dyDescent="0.25">
      <c r="A45" s="73"/>
      <c r="B45" s="73"/>
      <c r="C45" s="73"/>
      <c r="D45" s="73"/>
      <c r="E45" s="73"/>
      <c r="F45" s="115" t="s">
        <v>289</v>
      </c>
      <c r="G45" s="115" t="str">
        <f>Expenditure!G$19</f>
        <v>£ per year</v>
      </c>
      <c r="H45" s="130">
        <f>SUMPRODUCT(J23:AQ23, J$38:AQ$38)</f>
        <v>4564131.811881884</v>
      </c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290</v>
      </c>
      <c r="G46" s="115" t="str">
        <f>Expenditure!G$19</f>
        <v>£ per year</v>
      </c>
      <c r="H46" s="130">
        <f>SUMPRODUCT(J24:AQ24, J$38:AQ$38)</f>
        <v>11981046.128394486</v>
      </c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7" t="s">
        <v>291</v>
      </c>
      <c r="G47" s="117" t="str">
        <f>Expenditure!G$19</f>
        <v>£ per year</v>
      </c>
      <c r="H47" s="146">
        <f>SUMPRODUCT(J25:AQ25, J$38:AQ$38)</f>
        <v>9371467.6289124377</v>
      </c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115"/>
      <c r="B49" s="73"/>
      <c r="C49" s="73"/>
      <c r="D49" s="73"/>
      <c r="E49" s="115" t="s">
        <v>273</v>
      </c>
      <c r="F49" s="73"/>
      <c r="G49" s="115" t="str">
        <f>Expenditure!G$19</f>
        <v>£ per year</v>
      </c>
      <c r="H49" s="130">
        <f>SUM(H43:H47)</f>
        <v>49973756</v>
      </c>
      <c r="I49" s="143" t="s">
        <v>314</v>
      </c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115" t="s">
        <v>576</v>
      </c>
      <c r="AT49" s="42"/>
    </row>
    <row r="50" spans="1:46" x14ac:dyDescent="0.25">
      <c r="A50" s="73"/>
      <c r="B50" s="73"/>
      <c r="C50" s="73"/>
      <c r="D50" s="73"/>
      <c r="E50" s="115" t="s">
        <v>487</v>
      </c>
      <c r="F50" s="73"/>
      <c r="G50" s="115" t="s">
        <v>470</v>
      </c>
      <c r="H50" s="130" t="b">
        <f>H49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109"/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3"/>
      <c r="AT51" s="42"/>
    </row>
    <row r="52" spans="1:46" x14ac:dyDescent="0.25">
      <c r="A52" s="115"/>
      <c r="B52" s="73"/>
      <c r="C52" s="73"/>
      <c r="D52" s="73"/>
      <c r="E52" s="112" t="s">
        <v>554</v>
      </c>
      <c r="F52" s="73"/>
      <c r="G52" s="73"/>
      <c r="H52" s="74"/>
      <c r="I52" s="132" t="s">
        <v>314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115" t="s">
        <v>575</v>
      </c>
      <c r="AT52" s="42"/>
    </row>
    <row r="53" spans="1:46" x14ac:dyDescent="0.25">
      <c r="A53" s="73"/>
      <c r="B53" s="73"/>
      <c r="C53" s="73"/>
      <c r="D53" s="73"/>
      <c r="E53" s="73"/>
      <c r="F53" s="113" t="s">
        <v>282</v>
      </c>
      <c r="G53" s="113" t="str">
        <f>Expenditure!G$19</f>
        <v>£ per year</v>
      </c>
      <c r="H53" s="145">
        <f>SUMPRODUCT(J28:AQ28, J$38:AQ$38)</f>
        <v>9102175.0210108496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74"/>
      <c r="AS53" s="73"/>
      <c r="AT53" s="42"/>
    </row>
    <row r="54" spans="1:46" x14ac:dyDescent="0.25">
      <c r="A54" s="73"/>
      <c r="B54" s="73"/>
      <c r="C54" s="73"/>
      <c r="D54" s="73"/>
      <c r="E54" s="73"/>
      <c r="F54" s="115" t="s">
        <v>283</v>
      </c>
      <c r="G54" s="115" t="str">
        <f>Expenditure!G$19</f>
        <v>£ per year</v>
      </c>
      <c r="H54" s="130">
        <f>SUMPRODUCT(J29:AQ29, J$38:AQ$38)</f>
        <v>15260818.658150962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74"/>
      <c r="AS54" s="73"/>
      <c r="AT54" s="42"/>
    </row>
    <row r="55" spans="1:46" x14ac:dyDescent="0.25">
      <c r="A55" s="73"/>
      <c r="B55" s="73"/>
      <c r="C55" s="73"/>
      <c r="D55" s="73"/>
      <c r="E55" s="73"/>
      <c r="F55" s="115" t="s">
        <v>284</v>
      </c>
      <c r="G55" s="115" t="str">
        <f>Expenditure!G$19</f>
        <v>£ per year</v>
      </c>
      <c r="H55" s="130">
        <f>SUMPRODUCT(J30:AQ30, J$38:AQ$38)</f>
        <v>4612811.0161624756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74"/>
      <c r="AS55" s="73"/>
      <c r="AT55" s="42"/>
    </row>
    <row r="56" spans="1:46" x14ac:dyDescent="0.25">
      <c r="A56" s="73"/>
      <c r="B56" s="73"/>
      <c r="C56" s="73"/>
      <c r="D56" s="73"/>
      <c r="E56" s="73"/>
      <c r="F56" s="115" t="s">
        <v>285</v>
      </c>
      <c r="G56" s="115" t="str">
        <f>Expenditure!G$19</f>
        <v>£ per year</v>
      </c>
      <c r="H56" s="130">
        <f>SUMPRODUCT(J31:AQ31, J$38:AQ$38)</f>
        <v>12154989.183456553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74"/>
      <c r="AS56" s="73"/>
      <c r="AT56" s="42"/>
    </row>
    <row r="57" spans="1:46" x14ac:dyDescent="0.25">
      <c r="A57" s="73"/>
      <c r="B57" s="73"/>
      <c r="C57" s="73"/>
      <c r="D57" s="73"/>
      <c r="E57" s="73"/>
      <c r="F57" s="117" t="s">
        <v>286</v>
      </c>
      <c r="G57" s="117" t="str">
        <f>Expenditure!G$19</f>
        <v>£ per year</v>
      </c>
      <c r="H57" s="146">
        <f>SUMPRODUCT(J32:AQ32, J$38:AQ$38)</f>
        <v>8842962.1212191656</v>
      </c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74"/>
      <c r="AS57" s="73"/>
      <c r="AT57" s="42"/>
    </row>
    <row r="58" spans="1:46" x14ac:dyDescent="0.25">
      <c r="A58" s="73"/>
      <c r="B58" s="73"/>
      <c r="C58" s="73"/>
      <c r="D58" s="73"/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3"/>
      <c r="AT58" s="42"/>
    </row>
    <row r="59" spans="1:46" x14ac:dyDescent="0.25">
      <c r="A59" s="115"/>
      <c r="B59" s="73"/>
      <c r="C59" s="73"/>
      <c r="D59" s="73"/>
      <c r="E59" s="115" t="s">
        <v>527</v>
      </c>
      <c r="F59" s="73"/>
      <c r="G59" s="115" t="str">
        <f>Expenditure!G$19</f>
        <v>£ per year</v>
      </c>
      <c r="H59" s="130">
        <f>SUM(H53:H57)</f>
        <v>49973756.000000007</v>
      </c>
      <c r="I59" s="143" t="s">
        <v>314</v>
      </c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74"/>
      <c r="AS59" s="115" t="s">
        <v>576</v>
      </c>
      <c r="AT59" s="42"/>
    </row>
    <row r="60" spans="1:46" x14ac:dyDescent="0.25">
      <c r="A60" s="73"/>
      <c r="B60" s="73"/>
      <c r="C60" s="73"/>
      <c r="D60" s="73"/>
      <c r="E60" s="115" t="s">
        <v>528</v>
      </c>
      <c r="F60" s="73"/>
      <c r="G60" s="115" t="s">
        <v>470</v>
      </c>
      <c r="H60" s="130" t="b">
        <f>H59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s="17" customFormat="1" x14ac:dyDescent="0.25">
      <c r="A62" s="73"/>
      <c r="B62" s="73"/>
      <c r="C62" s="73"/>
      <c r="D62" s="73"/>
      <c r="E62" s="115" t="s">
        <v>764</v>
      </c>
      <c r="F62" s="73"/>
      <c r="G62" s="115" t="str">
        <f>Expenditure!G$19</f>
        <v>£ per year</v>
      </c>
      <c r="H62" s="130">
        <f>ABS(H49 - H59)</f>
        <v>7.4505805969238281E-9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3"/>
      <c r="AT62" s="42"/>
    </row>
    <row r="63" spans="1:46" x14ac:dyDescent="0.25">
      <c r="A63" s="73"/>
      <c r="B63" s="73"/>
      <c r="C63" s="73"/>
      <c r="D63" s="73"/>
      <c r="E63" s="115" t="s">
        <v>275</v>
      </c>
      <c r="F63" s="73"/>
      <c r="G63" s="115" t="s">
        <v>231</v>
      </c>
      <c r="H63" s="136">
        <f>IF(H62 = 0, 0, 1)</f>
        <v>1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74"/>
      <c r="AS63" s="73"/>
      <c r="AT63" s="42"/>
    </row>
    <row r="64" spans="1:46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3"/>
      <c r="AT64" s="42"/>
    </row>
    <row r="65" spans="1:46" x14ac:dyDescent="0.25">
      <c r="A65" s="73"/>
      <c r="B65" s="101"/>
      <c r="C65" s="110" t="s">
        <v>644</v>
      </c>
      <c r="D65" s="110"/>
      <c r="E65" s="110"/>
      <c r="F65" s="110"/>
      <c r="G65" s="110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0"/>
      <c r="AT65" s="42"/>
    </row>
    <row r="66" spans="1:46" x14ac:dyDescent="0.25">
      <c r="A66" s="73"/>
      <c r="B66" s="73"/>
      <c r="C66" s="109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3"/>
      <c r="AT66" s="42"/>
    </row>
    <row r="67" spans="1:46" x14ac:dyDescent="0.25">
      <c r="A67" s="115"/>
      <c r="B67" s="73"/>
      <c r="C67" s="73"/>
      <c r="D67" s="109"/>
      <c r="E67" s="112" t="s">
        <v>274</v>
      </c>
      <c r="F67" s="73"/>
      <c r="G67" s="73"/>
      <c r="H67" s="74"/>
      <c r="I67" s="132" t="s">
        <v>314</v>
      </c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115" t="s">
        <v>576</v>
      </c>
      <c r="AT67" s="42"/>
    </row>
    <row r="68" spans="1:46" x14ac:dyDescent="0.25">
      <c r="A68" s="73"/>
      <c r="B68" s="73"/>
      <c r="C68" s="73"/>
      <c r="D68" s="73"/>
      <c r="E68" s="73"/>
      <c r="F68" s="113" t="s">
        <v>287</v>
      </c>
      <c r="G68" s="113" t="s">
        <v>44</v>
      </c>
      <c r="H68" s="153">
        <f>IF(H$50, H43 / H$49, 0)</f>
        <v>0.17996905981935982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74"/>
      <c r="AS68" s="73"/>
      <c r="AT68" s="42"/>
    </row>
    <row r="69" spans="1:46" x14ac:dyDescent="0.25">
      <c r="A69" s="73"/>
      <c r="B69" s="73"/>
      <c r="C69" s="73"/>
      <c r="D69" s="73"/>
      <c r="E69" s="73"/>
      <c r="F69" s="115" t="s">
        <v>288</v>
      </c>
      <c r="G69" s="115" t="s">
        <v>44</v>
      </c>
      <c r="H69" s="154">
        <f>IF(H$50, H44 / H$49, 0)</f>
        <v>0.3014258233431385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74"/>
      <c r="AS69" s="73"/>
      <c r="AT69" s="42"/>
    </row>
    <row r="70" spans="1:46" x14ac:dyDescent="0.25">
      <c r="A70" s="73"/>
      <c r="B70" s="73"/>
      <c r="C70" s="73"/>
      <c r="D70" s="73"/>
      <c r="E70" s="73"/>
      <c r="F70" s="115" t="s">
        <v>289</v>
      </c>
      <c r="G70" s="115" t="s">
        <v>44</v>
      </c>
      <c r="H70" s="154">
        <f>IF(H$50, H45 / H$49, 0)</f>
        <v>9.133057382922917E-2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74"/>
      <c r="AS70" s="73"/>
      <c r="AT70" s="42"/>
    </row>
    <row r="71" spans="1:46" x14ac:dyDescent="0.25">
      <c r="A71" s="73"/>
      <c r="B71" s="73"/>
      <c r="C71" s="73"/>
      <c r="D71" s="73"/>
      <c r="E71" s="73"/>
      <c r="F71" s="115" t="s">
        <v>290</v>
      </c>
      <c r="G71" s="115" t="s">
        <v>44</v>
      </c>
      <c r="H71" s="154">
        <f>IF(H$50, H46 / H$49, 0)</f>
        <v>0.23974676084772348</v>
      </c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74"/>
      <c r="AS71" s="73"/>
      <c r="AT71" s="42"/>
    </row>
    <row r="72" spans="1:46" x14ac:dyDescent="0.25">
      <c r="A72" s="73"/>
      <c r="B72" s="73"/>
      <c r="C72" s="73"/>
      <c r="D72" s="73"/>
      <c r="E72" s="73"/>
      <c r="F72" s="117" t="s">
        <v>291</v>
      </c>
      <c r="G72" s="117" t="s">
        <v>44</v>
      </c>
      <c r="H72" s="155">
        <f>IF(H$50, H47 / H$49, 0)</f>
        <v>0.18752778216054919</v>
      </c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74"/>
      <c r="AS72" s="73"/>
      <c r="AT72" s="42"/>
    </row>
    <row r="73" spans="1:46" x14ac:dyDescent="0.25">
      <c r="A73" s="73"/>
      <c r="B73" s="73"/>
      <c r="C73" s="73"/>
      <c r="D73" s="73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25">
      <c r="A74" s="73"/>
      <c r="B74" s="73"/>
      <c r="C74" s="73"/>
      <c r="D74" s="73"/>
      <c r="E74" s="115" t="s">
        <v>239</v>
      </c>
      <c r="F74" s="73"/>
      <c r="G74" s="115" t="s">
        <v>231</v>
      </c>
      <c r="H74" s="136">
        <f>IF(SUM(H68:H72)= 1, 0, 1)</f>
        <v>0</v>
      </c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74"/>
      <c r="AS74" s="73"/>
      <c r="AT74" s="42"/>
    </row>
    <row r="75" spans="1:46" x14ac:dyDescent="0.25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3"/>
      <c r="AT75" s="42"/>
    </row>
    <row r="76" spans="1:46" x14ac:dyDescent="0.25">
      <c r="A76" s="115"/>
      <c r="B76" s="73"/>
      <c r="C76" s="73"/>
      <c r="D76" s="73"/>
      <c r="E76" s="112" t="s">
        <v>266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115" t="s">
        <v>576</v>
      </c>
      <c r="AT76" s="42"/>
    </row>
    <row r="77" spans="1:46" x14ac:dyDescent="0.25">
      <c r="A77" s="73"/>
      <c r="B77" s="73"/>
      <c r="C77" s="73"/>
      <c r="D77" s="73"/>
      <c r="E77" s="73"/>
      <c r="F77" s="113" t="s">
        <v>282</v>
      </c>
      <c r="G77" s="113" t="s">
        <v>44</v>
      </c>
      <c r="H77" s="153">
        <f>IF(H$60, H53 / H$59, 0)</f>
        <v>0.1821391015918605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5" t="s">
        <v>283</v>
      </c>
      <c r="G78" s="115" t="s">
        <v>44</v>
      </c>
      <c r="H78" s="154">
        <f>IF(H$60, H54 / H$59, 0)</f>
        <v>0.30537665926393365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115" t="s">
        <v>284</v>
      </c>
      <c r="G79" s="115" t="s">
        <v>44</v>
      </c>
      <c r="H79" s="154">
        <f>IF(H$60, H55 / H$59, 0)</f>
        <v>9.2304669198018149E-2</v>
      </c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74"/>
      <c r="AS79" s="73"/>
      <c r="AT79" s="42"/>
    </row>
    <row r="80" spans="1:46" x14ac:dyDescent="0.25">
      <c r="A80" s="73"/>
      <c r="B80" s="73"/>
      <c r="C80" s="73"/>
      <c r="D80" s="73"/>
      <c r="E80" s="73"/>
      <c r="F80" s="115" t="s">
        <v>285</v>
      </c>
      <c r="G80" s="115" t="s">
        <v>44</v>
      </c>
      <c r="H80" s="154">
        <f>IF(H$60, H56 / H$59, 0)</f>
        <v>0.24322744889250572</v>
      </c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117" t="s">
        <v>286</v>
      </c>
      <c r="G81" s="117" t="s">
        <v>44</v>
      </c>
      <c r="H81" s="155">
        <f>IF(H$60, H57 / H$59, 0)</f>
        <v>0.17695212105368194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25">
      <c r="A82" s="73"/>
      <c r="B82" s="73"/>
      <c r="C82" s="73"/>
      <c r="D82" s="73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3"/>
      <c r="AT82" s="42"/>
    </row>
    <row r="83" spans="1:46" x14ac:dyDescent="0.25">
      <c r="A83" s="73"/>
      <c r="B83" s="73"/>
      <c r="C83" s="73"/>
      <c r="D83" s="73"/>
      <c r="E83" s="115" t="s">
        <v>239</v>
      </c>
      <c r="F83" s="73"/>
      <c r="G83" s="115" t="s">
        <v>231</v>
      </c>
      <c r="H83" s="136">
        <f>IF(SUM(H77:H81)= 1, 0, 1)</f>
        <v>0</v>
      </c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74"/>
      <c r="AS83" s="73"/>
      <c r="AT83" s="42"/>
    </row>
    <row r="84" spans="1:46" x14ac:dyDescent="0.25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3"/>
      <c r="AT84" s="42"/>
    </row>
    <row r="85" spans="1:46" x14ac:dyDescent="0.25">
      <c r="A85" s="73"/>
      <c r="B85" s="107" t="s">
        <v>242</v>
      </c>
      <c r="C85" s="107"/>
      <c r="D85" s="107"/>
      <c r="E85" s="107"/>
      <c r="F85" s="107"/>
      <c r="G85" s="107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7"/>
      <c r="AT85" s="42"/>
    </row>
    <row r="86" spans="1:46" x14ac:dyDescent="0.25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25">
      <c r="A87" s="73"/>
      <c r="B87" s="73"/>
      <c r="C87" s="109"/>
      <c r="D87" s="109"/>
      <c r="E87" s="115" t="s">
        <v>232</v>
      </c>
      <c r="F87" s="73"/>
      <c r="G87" s="115" t="s">
        <v>231</v>
      </c>
      <c r="H87" s="159">
        <f>H63 + H74 + H83</f>
        <v>1</v>
      </c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74"/>
      <c r="AS87" s="73"/>
      <c r="AT87" s="42"/>
    </row>
    <row r="88" spans="1:46" x14ac:dyDescent="0.25">
      <c r="A88" s="73"/>
      <c r="B88" s="73"/>
      <c r="C88" s="73"/>
      <c r="D88" s="73"/>
      <c r="E88" s="109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25">
      <c r="A89" s="73"/>
      <c r="B89" s="107" t="s">
        <v>30</v>
      </c>
      <c r="C89" s="107"/>
      <c r="D89" s="107"/>
      <c r="E89" s="107"/>
      <c r="F89" s="107"/>
      <c r="G89" s="107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7"/>
      <c r="AT89" s="42"/>
    </row>
  </sheetData>
  <sheetProtection sheet="1" objects="1" formatCells="0" formatColumns="0" formatRows="0" sort="0" autoFilter="0"/>
  <conditionalFormatting sqref="H63">
    <cfRule type="cellIs" dxfId="24" priority="3" stopIfTrue="1" operator="greaterThan">
      <formula>0</formula>
    </cfRule>
  </conditionalFormatting>
  <conditionalFormatting sqref="H74">
    <cfRule type="cellIs" dxfId="23" priority="4" stopIfTrue="1" operator="greaterThan">
      <formula>0</formula>
    </cfRule>
  </conditionalFormatting>
  <conditionalFormatting sqref="H83">
    <cfRule type="cellIs" dxfId="22" priority="5" stopIfTrue="1" operator="greaterThan">
      <formula>0</formula>
    </cfRule>
  </conditionalFormatting>
  <conditionalFormatting sqref="H87">
    <cfRule type="cellIs" dxfId="21" priority="6" stopIfTrue="1" operator="greaterThan">
      <formula>0</formula>
    </cfRule>
  </conditionalFormatting>
  <conditionalFormatting sqref="A4:AO4 AQ4:XFD4">
    <cfRule type="expression" dxfId="20" priority="2">
      <formula>LEFT($A$4,1) &lt;&gt; "0"</formula>
    </cfRule>
  </conditionalFormatting>
  <conditionalFormatting sqref="AP4">
    <cfRule type="expression" dxfId="19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75047ED044E4AB8AE8CA3D9B75ECA" ma:contentTypeVersion="2" ma:contentTypeDescription="Create a new document." ma:contentTypeScope="" ma:versionID="05721c098920905ee0a7627685c8e168">
  <xsd:schema xmlns:xsd="http://www.w3.org/2001/XMLSchema" xmlns:xs="http://www.w3.org/2001/XMLSchema" xmlns:p="http://schemas.microsoft.com/office/2006/metadata/properties" xmlns:ns2="56525fcc-fd9b-4a18-b571-66fa38027e5b" targetNamespace="http://schemas.microsoft.com/office/2006/metadata/properties" ma:root="true" ma:fieldsID="738160ac3861714b7c51957dc4679198" ns2:_="">
    <xsd:import namespace="56525fcc-fd9b-4a18-b571-66fa38027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25fcc-fd9b-4a18-b571-66fa38027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CCB481-5D07-4576-BB79-32174CEC7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19579-5AB0-45A9-ACE2-09DB8D0D6DFC}">
  <ds:schemaRefs>
    <ds:schemaRef ds:uri="dcbf8a88-e063-4a69-82e9-42d02808f636"/>
    <ds:schemaRef ds:uri="http://purl.org/dc/dcmitype/"/>
    <ds:schemaRef ds:uri="http://schemas.microsoft.com/office/infopath/2007/PartnerControls"/>
    <ds:schemaRef ds:uri="df11e38d-df47-44a9-bb81-9cb5331e96c9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FDF3005-67D2-4820-BFC8-CB981A473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525fcc-fd9b-4a18-b571-66fa38027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Version control</vt:lpstr>
      <vt:lpstr>Model map</vt:lpstr>
      <vt:lpstr>Index</vt:lpstr>
      <vt:lpstr>Fixed inputs</vt:lpstr>
      <vt:lpstr>DNO inputs</vt:lpstr>
      <vt:lpstr>MEAV</vt:lpstr>
      <vt:lpstr>Expenditure</vt:lpstr>
      <vt:lpstr>Expensed</vt:lpstr>
      <vt:lpstr>Capitalised</vt:lpstr>
      <vt:lpstr>Rev allocation</vt:lpstr>
      <vt:lpstr>Direct</vt:lpstr>
      <vt:lpstr>EDCM discounts</vt:lpstr>
      <vt:lpstr>CDCM discounts</vt:lpstr>
      <vt:lpstr>Output to other models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2019-10-31T20:54:16Z</dcterms:created>
  <dcterms:modified xsi:type="dcterms:W3CDTF">2019-12-06T07:33:57Z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0x010100F0775047ED044E4AB8AE8CA3D9B75ECA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